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xPinchak\Desktop\"/>
    </mc:Choice>
  </mc:AlternateContent>
  <xr:revisionPtr revIDLastSave="0" documentId="13_ncr:1_{874DD762-32EE-4F21-A37A-721E98E9A787}" xr6:coauthVersionLast="47" xr6:coauthVersionMax="47" xr10:uidLastSave="{00000000-0000-0000-0000-000000000000}"/>
  <bookViews>
    <workbookView minimized="1" xWindow="1820" yWindow="1820" windowWidth="14400" windowHeight="8170" firstSheet="1" activeTab="1" xr2:uid="{00000000-000D-0000-FFFF-FFFF00000000}"/>
  </bookViews>
  <sheets>
    <sheet name="Exhibit 7.10" sheetId="2" r:id="rId1"/>
    <sheet name="Ch. 7 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71" i="1" l="1"/>
  <c r="BT71" i="1"/>
  <c r="BS71" i="1"/>
  <c r="CF70" i="1"/>
  <c r="CE70" i="1"/>
  <c r="BU70" i="1"/>
  <c r="BT70" i="1"/>
  <c r="BS70" i="1"/>
  <c r="CF69" i="1"/>
  <c r="CE69" i="1"/>
  <c r="BU69" i="1"/>
  <c r="BT69" i="1"/>
  <c r="BS69" i="1"/>
  <c r="CF68" i="1"/>
  <c r="CE68" i="1"/>
  <c r="BU68" i="1"/>
  <c r="BT68" i="1"/>
  <c r="BS68" i="1"/>
  <c r="CF67" i="1"/>
  <c r="CE67" i="1"/>
  <c r="BU67" i="1"/>
  <c r="BT67" i="1"/>
  <c r="BS67" i="1"/>
  <c r="CF66" i="1"/>
  <c r="CE66" i="1"/>
  <c r="BU66" i="1"/>
  <c r="BT66" i="1"/>
  <c r="BS66" i="1"/>
  <c r="CF65" i="1"/>
  <c r="CE65" i="1"/>
  <c r="BU65" i="1"/>
  <c r="BT65" i="1"/>
  <c r="BS65" i="1"/>
  <c r="CF64" i="1"/>
  <c r="CE64" i="1"/>
  <c r="BU64" i="1"/>
  <c r="BT64" i="1"/>
  <c r="BS64" i="1"/>
  <c r="CF63" i="1"/>
  <c r="CE63" i="1"/>
  <c r="BU63" i="1"/>
  <c r="BT63" i="1"/>
  <c r="BS63" i="1"/>
  <c r="CF62" i="1"/>
  <c r="CE62" i="1"/>
  <c r="BU62" i="1"/>
  <c r="BT62" i="1"/>
  <c r="BS62" i="1"/>
  <c r="CF61" i="1"/>
  <c r="CE61" i="1"/>
  <c r="BU61" i="1"/>
  <c r="BT61" i="1"/>
  <c r="BS61" i="1"/>
  <c r="CF60" i="1"/>
  <c r="CE60" i="1"/>
  <c r="BU60" i="1"/>
  <c r="BT60" i="1"/>
  <c r="BS60" i="1"/>
  <c r="CF59" i="1"/>
  <c r="CE59" i="1"/>
  <c r="BU59" i="1"/>
  <c r="BT59" i="1"/>
  <c r="BS59" i="1"/>
  <c r="CF58" i="1"/>
  <c r="CE58" i="1"/>
  <c r="BU58" i="1"/>
  <c r="BT58" i="1"/>
  <c r="BS58" i="1"/>
  <c r="CF57" i="1"/>
  <c r="CE57" i="1"/>
  <c r="BU57" i="1"/>
  <c r="BT57" i="1"/>
  <c r="BS57" i="1"/>
  <c r="CF56" i="1"/>
  <c r="CE56" i="1"/>
  <c r="BU56" i="1"/>
  <c r="BT56" i="1"/>
  <c r="BS56" i="1"/>
  <c r="CF55" i="1"/>
  <c r="CE55" i="1"/>
  <c r="BU55" i="1"/>
  <c r="BT55" i="1"/>
  <c r="BS55" i="1"/>
  <c r="CF54" i="1"/>
  <c r="CE54" i="1"/>
  <c r="BU54" i="1"/>
  <c r="BT54" i="1"/>
  <c r="BS54" i="1"/>
  <c r="CF53" i="1"/>
  <c r="BT53" i="1"/>
  <c r="K31" i="1"/>
  <c r="CP32" i="1"/>
  <c r="CS31" i="1"/>
  <c r="CR31" i="1"/>
  <c r="BV27" i="1"/>
  <c r="BS27" i="1"/>
  <c r="BO27" i="1"/>
  <c r="BP27" i="1" s="1"/>
  <c r="BW27" i="1" s="1"/>
  <c r="CI26" i="1"/>
  <c r="BV26" i="1"/>
  <c r="BS26" i="1"/>
  <c r="BO26" i="1"/>
  <c r="CJ25" i="1"/>
  <c r="CI25" i="1"/>
  <c r="BV25" i="1"/>
  <c r="BS25" i="1"/>
  <c r="BO25" i="1"/>
  <c r="BP25" i="1" s="1"/>
  <c r="CJ24" i="1"/>
  <c r="CI24" i="1"/>
  <c r="CZ24" i="1" s="1"/>
  <c r="DF24" i="1" s="1"/>
  <c r="BV24" i="1"/>
  <c r="BS24" i="1"/>
  <c r="BO24" i="1"/>
  <c r="W24" i="1"/>
  <c r="AC24" i="1" s="1"/>
  <c r="AL24" i="1" s="1"/>
  <c r="AU28" i="1" s="1"/>
  <c r="BC28" i="1" s="1"/>
  <c r="CJ23" i="1"/>
  <c r="CI23" i="1"/>
  <c r="BV23" i="1"/>
  <c r="BS23" i="1"/>
  <c r="BO23" i="1"/>
  <c r="BP23" i="1" s="1"/>
  <c r="M23" i="1"/>
  <c r="W23" i="1" s="1"/>
  <c r="AC23" i="1" s="1"/>
  <c r="AL23" i="1" s="1"/>
  <c r="AU27" i="1" s="1"/>
  <c r="BC27" i="1" s="1"/>
  <c r="K23" i="1"/>
  <c r="BT26" i="1" s="1"/>
  <c r="J23" i="1"/>
  <c r="CJ22" i="1"/>
  <c r="CI22" i="1"/>
  <c r="BV22" i="1"/>
  <c r="BS22" i="1"/>
  <c r="BO22" i="1"/>
  <c r="BP22" i="1" s="1"/>
  <c r="M22" i="1"/>
  <c r="W22" i="1" s="1"/>
  <c r="AC22" i="1" s="1"/>
  <c r="AL22" i="1" s="1"/>
  <c r="AU26" i="1" s="1"/>
  <c r="BC26" i="1" s="1"/>
  <c r="K22" i="1"/>
  <c r="BT25" i="1" s="1"/>
  <c r="J22" i="1"/>
  <c r="CJ21" i="1"/>
  <c r="CI21" i="1"/>
  <c r="CZ21" i="1" s="1"/>
  <c r="DF21" i="1" s="1"/>
  <c r="CC21" i="1"/>
  <c r="BV21" i="1"/>
  <c r="BS21" i="1"/>
  <c r="BO21" i="1"/>
  <c r="M21" i="1"/>
  <c r="W21" i="1" s="1"/>
  <c r="AC21" i="1" s="1"/>
  <c r="AL21" i="1" s="1"/>
  <c r="AU25" i="1" s="1"/>
  <c r="BC25" i="1" s="1"/>
  <c r="K21" i="1"/>
  <c r="BT24" i="1" s="1"/>
  <c r="J21" i="1"/>
  <c r="CJ20" i="1"/>
  <c r="CI20" i="1"/>
  <c r="CZ20" i="1" s="1"/>
  <c r="DF20" i="1" s="1"/>
  <c r="CC20" i="1"/>
  <c r="BV20" i="1"/>
  <c r="BS20" i="1"/>
  <c r="BO20" i="1"/>
  <c r="BP20" i="1" s="1"/>
  <c r="BW20" i="1" s="1"/>
  <c r="M20" i="1"/>
  <c r="W20" i="1" s="1"/>
  <c r="AC20" i="1" s="1"/>
  <c r="AL20" i="1" s="1"/>
  <c r="AU24" i="1" s="1"/>
  <c r="BC24" i="1" s="1"/>
  <c r="K20" i="1"/>
  <c r="N20" i="1" s="1"/>
  <c r="J20" i="1"/>
  <c r="CZ19" i="1"/>
  <c r="DF19" i="1" s="1"/>
  <c r="CJ19" i="1"/>
  <c r="CI19" i="1"/>
  <c r="CC19" i="1" s="1"/>
  <c r="BV19" i="1"/>
  <c r="BS19" i="1"/>
  <c r="BO19" i="1"/>
  <c r="M19" i="1"/>
  <c r="W19" i="1" s="1"/>
  <c r="AC19" i="1" s="1"/>
  <c r="AL19" i="1" s="1"/>
  <c r="AU23" i="1" s="1"/>
  <c r="BC23" i="1" s="1"/>
  <c r="K19" i="1"/>
  <c r="J19" i="1"/>
  <c r="CJ18" i="1"/>
  <c r="CI18" i="1"/>
  <c r="BV18" i="1"/>
  <c r="BS18" i="1"/>
  <c r="BO18" i="1"/>
  <c r="BP18" i="1" s="1"/>
  <c r="BR18" i="1" s="1"/>
  <c r="M18" i="1"/>
  <c r="W18" i="1" s="1"/>
  <c r="AC18" i="1" s="1"/>
  <c r="AL18" i="1" s="1"/>
  <c r="AU22" i="1" s="1"/>
  <c r="BC22" i="1" s="1"/>
  <c r="K18" i="1"/>
  <c r="N18" i="1" s="1"/>
  <c r="J18" i="1"/>
  <c r="CJ17" i="1"/>
  <c r="CI17" i="1"/>
  <c r="CZ17" i="1" s="1"/>
  <c r="DF17" i="1" s="1"/>
  <c r="CC17" i="1"/>
  <c r="BV17" i="1"/>
  <c r="BS17" i="1"/>
  <c r="BO17" i="1"/>
  <c r="BP17" i="1" s="1"/>
  <c r="N17" i="1"/>
  <c r="M17" i="1"/>
  <c r="W17" i="1" s="1"/>
  <c r="AC17" i="1" s="1"/>
  <c r="AL17" i="1" s="1"/>
  <c r="AU21" i="1" s="1"/>
  <c r="BC21" i="1" s="1"/>
  <c r="K17" i="1"/>
  <c r="BT20" i="1" s="1"/>
  <c r="J17" i="1"/>
  <c r="CJ16" i="1"/>
  <c r="CI16" i="1"/>
  <c r="CZ16" i="1" s="1"/>
  <c r="DF16" i="1" s="1"/>
  <c r="CC16" i="1"/>
  <c r="BV16" i="1"/>
  <c r="BS16" i="1"/>
  <c r="BO16" i="1"/>
  <c r="M16" i="1"/>
  <c r="W16" i="1" s="1"/>
  <c r="AC16" i="1" s="1"/>
  <c r="AL16" i="1" s="1"/>
  <c r="AU20" i="1" s="1"/>
  <c r="BC20" i="1" s="1"/>
  <c r="K16" i="1"/>
  <c r="BT19" i="1" s="1"/>
  <c r="J16" i="1"/>
  <c r="CJ15" i="1"/>
  <c r="CI15" i="1"/>
  <c r="CZ15" i="1" s="1"/>
  <c r="DF15" i="1" s="1"/>
  <c r="CC15" i="1"/>
  <c r="BV15" i="1"/>
  <c r="BS15" i="1"/>
  <c r="BO15" i="1"/>
  <c r="M15" i="1"/>
  <c r="W15" i="1" s="1"/>
  <c r="AC15" i="1" s="1"/>
  <c r="AL15" i="1" s="1"/>
  <c r="AU19" i="1" s="1"/>
  <c r="BC19" i="1" s="1"/>
  <c r="K15" i="1"/>
  <c r="J15" i="1"/>
  <c r="CJ14" i="1"/>
  <c r="CI14" i="1"/>
  <c r="CZ14" i="1" s="1"/>
  <c r="DF14" i="1" s="1"/>
  <c r="BV14" i="1"/>
  <c r="BS14" i="1"/>
  <c r="BO14" i="1"/>
  <c r="BP14" i="1" s="1"/>
  <c r="BW14" i="1" s="1"/>
  <c r="M14" i="1"/>
  <c r="W14" i="1" s="1"/>
  <c r="AC14" i="1" s="1"/>
  <c r="AL14" i="1" s="1"/>
  <c r="AU18" i="1" s="1"/>
  <c r="BC18" i="1" s="1"/>
  <c r="K14" i="1"/>
  <c r="N14" i="1" s="1"/>
  <c r="X14" i="1" s="1"/>
  <c r="J14" i="1"/>
  <c r="CZ13" i="1"/>
  <c r="DF13" i="1" s="1"/>
  <c r="CJ13" i="1"/>
  <c r="CI13" i="1"/>
  <c r="CC13" i="1" s="1"/>
  <c r="BV13" i="1"/>
  <c r="BS13" i="1"/>
  <c r="BO13" i="1"/>
  <c r="M13" i="1"/>
  <c r="W13" i="1" s="1"/>
  <c r="AC13" i="1" s="1"/>
  <c r="AL13" i="1" s="1"/>
  <c r="AU17" i="1" s="1"/>
  <c r="BC17" i="1" s="1"/>
  <c r="K13" i="1"/>
  <c r="J13" i="1"/>
  <c r="CJ12" i="1"/>
  <c r="CI12" i="1"/>
  <c r="CZ12" i="1" s="1"/>
  <c r="DF12" i="1" s="1"/>
  <c r="BV12" i="1"/>
  <c r="BS12" i="1"/>
  <c r="BO12" i="1"/>
  <c r="BP12" i="1" s="1"/>
  <c r="M12" i="1"/>
  <c r="W12" i="1" s="1"/>
  <c r="AC12" i="1" s="1"/>
  <c r="AL12" i="1" s="1"/>
  <c r="AU16" i="1" s="1"/>
  <c r="BC16" i="1" s="1"/>
  <c r="K12" i="1"/>
  <c r="N12" i="1" s="1"/>
  <c r="J12" i="1"/>
  <c r="CJ11" i="1"/>
  <c r="CI11" i="1"/>
  <c r="CZ11" i="1" s="1"/>
  <c r="DF11" i="1" s="1"/>
  <c r="CC11" i="1"/>
  <c r="BV11" i="1"/>
  <c r="BS11" i="1"/>
  <c r="BO11" i="1"/>
  <c r="M11" i="1"/>
  <c r="W11" i="1" s="1"/>
  <c r="AC11" i="1" s="1"/>
  <c r="AL11" i="1" s="1"/>
  <c r="AU15" i="1" s="1"/>
  <c r="BC15" i="1" s="1"/>
  <c r="K11" i="1"/>
  <c r="N11" i="1" s="1"/>
  <c r="X11" i="1" s="1"/>
  <c r="J11" i="1"/>
  <c r="CJ10" i="1"/>
  <c r="CI10" i="1"/>
  <c r="BV10" i="1"/>
  <c r="BS10" i="1"/>
  <c r="BO10" i="1"/>
  <c r="M10" i="1"/>
  <c r="W10" i="1" s="1"/>
  <c r="AC10" i="1" s="1"/>
  <c r="AL10" i="1" s="1"/>
  <c r="AU14" i="1" s="1"/>
  <c r="BC14" i="1" s="1"/>
  <c r="K10" i="1"/>
  <c r="J10" i="1"/>
  <c r="CJ9" i="1"/>
  <c r="CI9" i="1"/>
  <c r="CZ9" i="1" s="1"/>
  <c r="DF9" i="1" s="1"/>
  <c r="CC9" i="1"/>
  <c r="BV9" i="1"/>
  <c r="BS9" i="1"/>
  <c r="BO9" i="1"/>
  <c r="BP9" i="1" s="1"/>
  <c r="BR9" i="1" s="1"/>
  <c r="M9" i="1"/>
  <c r="W9" i="1" s="1"/>
  <c r="AC9" i="1" s="1"/>
  <c r="AL9" i="1" s="1"/>
  <c r="AU13" i="1" s="1"/>
  <c r="BC13" i="1" s="1"/>
  <c r="K9" i="1"/>
  <c r="J9" i="1"/>
  <c r="CJ8" i="1"/>
  <c r="CI8" i="1"/>
  <c r="CZ8" i="1" s="1"/>
  <c r="CC8" i="1"/>
  <c r="BV8" i="1"/>
  <c r="BS8" i="1"/>
  <c r="BO8" i="1"/>
  <c r="BP8" i="1" s="1"/>
  <c r="M8" i="1"/>
  <c r="W8" i="1" s="1"/>
  <c r="AC8" i="1" s="1"/>
  <c r="AL8" i="1" s="1"/>
  <c r="AU12" i="1" s="1"/>
  <c r="BC12" i="1" s="1"/>
  <c r="K8" i="1"/>
  <c r="J8" i="1"/>
  <c r="DA7" i="1"/>
  <c r="DG6" i="1" s="1"/>
  <c r="CF7" i="1"/>
  <c r="CE7" i="1"/>
  <c r="CD7" i="1"/>
  <c r="CC7" i="1"/>
  <c r="BW7" i="1"/>
  <c r="BV7" i="1"/>
  <c r="M7" i="1"/>
  <c r="W7" i="1" s="1"/>
  <c r="AC7" i="1" s="1"/>
  <c r="AL7" i="1" s="1"/>
  <c r="AU11" i="1" s="1"/>
  <c r="BC11" i="1" s="1"/>
  <c r="K7" i="1"/>
  <c r="J7" i="1"/>
  <c r="DH6" i="1"/>
  <c r="M6" i="1"/>
  <c r="W6" i="1" s="1"/>
  <c r="AC6" i="1" s="1"/>
  <c r="AL6" i="1" s="1"/>
  <c r="AU10" i="1" s="1"/>
  <c r="BC10" i="1" s="1"/>
  <c r="K6" i="1"/>
  <c r="BT9" i="1" s="1"/>
  <c r="J6" i="1"/>
  <c r="M5" i="1"/>
  <c r="W5" i="1" s="1"/>
  <c r="AC5" i="1" s="1"/>
  <c r="AL5" i="1" s="1"/>
  <c r="AU9" i="1" s="1"/>
  <c r="BC9" i="1" s="1"/>
  <c r="K5" i="1"/>
  <c r="N5" i="1" s="1"/>
  <c r="J5" i="1"/>
  <c r="M4" i="1"/>
  <c r="W4" i="1" s="1"/>
  <c r="AC4" i="1" s="1"/>
  <c r="AL4" i="1" s="1"/>
  <c r="AU8" i="1" s="1"/>
  <c r="BC8" i="1" s="1"/>
  <c r="K4" i="1"/>
  <c r="N4" i="1" s="1"/>
  <c r="X4" i="1" s="1"/>
  <c r="AD4" i="1" s="1"/>
  <c r="AM4" i="1" s="1"/>
  <c r="J4" i="1"/>
  <c r="AA1" i="1"/>
  <c r="AJ1" i="1" s="1"/>
  <c r="Z1" i="1"/>
  <c r="N1" i="1"/>
  <c r="X1" i="1" s="1"/>
  <c r="AD1" i="1" s="1"/>
  <c r="AM1" i="1" s="1"/>
  <c r="AV1" i="1" s="1"/>
  <c r="BD1" i="1" s="1"/>
  <c r="M1" i="1"/>
  <c r="W1" i="1" s="1"/>
  <c r="AC1" i="1" s="1"/>
  <c r="K1" i="1"/>
  <c r="J1" i="1"/>
  <c r="F1" i="1"/>
  <c r="E112" i="1"/>
  <c r="BT14" i="1" l="1"/>
  <c r="CK13" i="1"/>
  <c r="DA13" i="1" s="1"/>
  <c r="DG13" i="1" s="1"/>
  <c r="CF52" i="1"/>
  <c r="BW18" i="1"/>
  <c r="BP15" i="1"/>
  <c r="BW15" i="1" s="1"/>
  <c r="BP21" i="1"/>
  <c r="BP24" i="1"/>
  <c r="BS52" i="1"/>
  <c r="CE52" i="1"/>
  <c r="BT12" i="1"/>
  <c r="N9" i="1"/>
  <c r="X9" i="1" s="1"/>
  <c r="CZ10" i="1"/>
  <c r="DF10" i="1" s="1"/>
  <c r="CC10" i="1"/>
  <c r="BR21" i="1"/>
  <c r="BW21" i="1"/>
  <c r="CZ22" i="1"/>
  <c r="DF22" i="1" s="1"/>
  <c r="CC22" i="1"/>
  <c r="BT10" i="1"/>
  <c r="N7" i="1"/>
  <c r="BR23" i="1"/>
  <c r="BW23" i="1"/>
  <c r="BR27" i="1"/>
  <c r="BT52" i="1"/>
  <c r="CZ23" i="1"/>
  <c r="DF23" i="1" s="1"/>
  <c r="CC23" i="1"/>
  <c r="BT13" i="1"/>
  <c r="N10" i="1"/>
  <c r="X10" i="1" s="1"/>
  <c r="CZ25" i="1"/>
  <c r="DF25" i="1" s="1"/>
  <c r="CC25" i="1"/>
  <c r="O12" i="1"/>
  <c r="CC26" i="1"/>
  <c r="CZ26" i="1"/>
  <c r="DF26" i="1" s="1"/>
  <c r="BU52" i="1"/>
  <c r="BP10" i="1"/>
  <c r="BP11" i="1"/>
  <c r="BR11" i="1" s="1"/>
  <c r="BP13" i="1"/>
  <c r="BW13" i="1" s="1"/>
  <c r="BP16" i="1"/>
  <c r="BR16" i="1" s="1"/>
  <c r="BP19" i="1"/>
  <c r="BR19" i="1" s="1"/>
  <c r="N21" i="1"/>
  <c r="X21" i="1" s="1"/>
  <c r="CC24" i="1"/>
  <c r="BP26" i="1"/>
  <c r="BR26" i="1" s="1"/>
  <c r="AV8" i="1"/>
  <c r="AD10" i="1"/>
  <c r="X7" i="1"/>
  <c r="BT11" i="1"/>
  <c r="N8" i="1"/>
  <c r="CK10" i="1"/>
  <c r="DA10" i="1" s="1"/>
  <c r="BT8" i="1"/>
  <c r="BW9" i="1"/>
  <c r="CK15" i="1"/>
  <c r="DA15" i="1" s="1"/>
  <c r="N13" i="1"/>
  <c r="O14" i="1" s="1"/>
  <c r="BT16" i="1"/>
  <c r="AD9" i="1"/>
  <c r="P7" i="1"/>
  <c r="P12" i="1"/>
  <c r="O9" i="1"/>
  <c r="X12" i="1"/>
  <c r="CC12" i="1"/>
  <c r="BT18" i="1"/>
  <c r="N15" i="1"/>
  <c r="X18" i="1"/>
  <c r="O18" i="1"/>
  <c r="AD11" i="1"/>
  <c r="AD14" i="1"/>
  <c r="X5" i="1"/>
  <c r="O5" i="1"/>
  <c r="BW8" i="1"/>
  <c r="BR8" i="1"/>
  <c r="BW12" i="1"/>
  <c r="BR12" i="1"/>
  <c r="P13" i="1"/>
  <c r="CK17" i="1"/>
  <c r="DA17" i="1" s="1"/>
  <c r="N6" i="1"/>
  <c r="CK9" i="1"/>
  <c r="DA9" i="1" s="1"/>
  <c r="CK11" i="1"/>
  <c r="DA11" i="1" s="1"/>
  <c r="CK16" i="1"/>
  <c r="DA16" i="1" s="1"/>
  <c r="BT17" i="1"/>
  <c r="CC14" i="1"/>
  <c r="CK18" i="1"/>
  <c r="DA18" i="1" s="1"/>
  <c r="N16" i="1"/>
  <c r="O17" i="1" s="1"/>
  <c r="CZ18" i="1"/>
  <c r="DF18" i="1" s="1"/>
  <c r="CC18" i="1"/>
  <c r="BT22" i="1"/>
  <c r="CK21" i="1"/>
  <c r="DA21" i="1" s="1"/>
  <c r="N19" i="1"/>
  <c r="O20" i="1" s="1"/>
  <c r="CK8" i="1"/>
  <c r="DA8" i="1" s="1"/>
  <c r="BT15" i="1"/>
  <c r="CK14" i="1"/>
  <c r="DA14" i="1" s="1"/>
  <c r="BW17" i="1"/>
  <c r="BR17" i="1"/>
  <c r="CK12" i="1"/>
  <c r="DA12" i="1" s="1"/>
  <c r="BR14" i="1"/>
  <c r="CK19" i="1"/>
  <c r="DA19" i="1" s="1"/>
  <c r="BW22" i="1"/>
  <c r="BR22" i="1"/>
  <c r="X17" i="1"/>
  <c r="CK20" i="1"/>
  <c r="DA20" i="1" s="1"/>
  <c r="BT21" i="1"/>
  <c r="X20" i="1"/>
  <c r="BW19" i="1"/>
  <c r="CK22" i="1"/>
  <c r="DA22" i="1" s="1"/>
  <c r="N23" i="1"/>
  <c r="BT23" i="1"/>
  <c r="CK23" i="1"/>
  <c r="DA23" i="1" s="1"/>
  <c r="N22" i="1"/>
  <c r="BW24" i="1"/>
  <c r="BR24" i="1"/>
  <c r="CK24" i="1"/>
  <c r="DA24" i="1" s="1"/>
  <c r="CK25" i="1"/>
  <c r="DA25" i="1" s="1"/>
  <c r="BW26" i="1"/>
  <c r="BR20" i="1"/>
  <c r="BW25" i="1"/>
  <c r="BR25" i="1"/>
  <c r="BS51" i="1" l="1"/>
  <c r="BZ29" i="1" s="1"/>
  <c r="O21" i="1"/>
  <c r="P23" i="1"/>
  <c r="P17" i="1"/>
  <c r="P20" i="1"/>
  <c r="BR15" i="1"/>
  <c r="CL15" i="1" s="1"/>
  <c r="P10" i="1"/>
  <c r="Y12" i="1"/>
  <c r="Z12" i="1" s="1"/>
  <c r="AA12" i="1" s="1"/>
  <c r="BW16" i="1"/>
  <c r="P8" i="1"/>
  <c r="CE51" i="1"/>
  <c r="CE31" i="1" s="1"/>
  <c r="E7" i="2" s="1"/>
  <c r="P15" i="1"/>
  <c r="CL18" i="1"/>
  <c r="CD18" i="1" s="1"/>
  <c r="CN10" i="1"/>
  <c r="CF10" i="1" s="1"/>
  <c r="BR13" i="1"/>
  <c r="P21" i="1"/>
  <c r="P14" i="1"/>
  <c r="BW10" i="1"/>
  <c r="BR10" i="1"/>
  <c r="CL9" i="1" s="1"/>
  <c r="O10" i="1"/>
  <c r="O11" i="1"/>
  <c r="BW11" i="1"/>
  <c r="BU51" i="1"/>
  <c r="CL17" i="1" s="1"/>
  <c r="CD17" i="1" s="1"/>
  <c r="DG20" i="1"/>
  <c r="CN21" i="1"/>
  <c r="CF21" i="1" s="1"/>
  <c r="DG18" i="1"/>
  <c r="P9" i="1"/>
  <c r="X6" i="1"/>
  <c r="O6" i="1"/>
  <c r="R2" i="1"/>
  <c r="DG17" i="1"/>
  <c r="AD12" i="1"/>
  <c r="AF13" i="1" s="1"/>
  <c r="P11" i="1"/>
  <c r="O8" i="1"/>
  <c r="X8" i="1"/>
  <c r="Y10" i="1" s="1"/>
  <c r="Z10" i="1" s="1"/>
  <c r="AA10" i="1" s="1"/>
  <c r="Y13" i="1"/>
  <c r="DG25" i="1"/>
  <c r="DG24" i="1"/>
  <c r="DG23" i="1"/>
  <c r="DG22" i="1"/>
  <c r="P24" i="1"/>
  <c r="AD17" i="1"/>
  <c r="DG11" i="1"/>
  <c r="AD5" i="1"/>
  <c r="AE11" i="1"/>
  <c r="AM11" i="1"/>
  <c r="AM9" i="1"/>
  <c r="AF11" i="1"/>
  <c r="X13" i="1"/>
  <c r="Y15" i="1" s="1"/>
  <c r="P16" i="1"/>
  <c r="O13" i="1"/>
  <c r="CN11" i="1"/>
  <c r="CF11" i="1" s="1"/>
  <c r="AF12" i="1"/>
  <c r="AE10" i="1"/>
  <c r="AM10" i="1"/>
  <c r="BD8" i="1"/>
  <c r="AD21" i="1"/>
  <c r="X23" i="1"/>
  <c r="O23" i="1"/>
  <c r="CL22" i="1"/>
  <c r="CL25" i="1"/>
  <c r="AD20" i="1"/>
  <c r="DG19" i="1"/>
  <c r="P22" i="1"/>
  <c r="X19" i="1"/>
  <c r="O19" i="1"/>
  <c r="Q22" i="1" s="1"/>
  <c r="DG9" i="1"/>
  <c r="AM14" i="1"/>
  <c r="DG15" i="1"/>
  <c r="AD7" i="1"/>
  <c r="O7" i="1"/>
  <c r="Q10" i="1" s="1"/>
  <c r="O22" i="1"/>
  <c r="X22" i="1"/>
  <c r="Y23" i="1" s="1"/>
  <c r="DG12" i="1"/>
  <c r="DG14" i="1"/>
  <c r="DG21" i="1"/>
  <c r="X16" i="1"/>
  <c r="P19" i="1"/>
  <c r="O16" i="1"/>
  <c r="Q19" i="1" s="1"/>
  <c r="DG16" i="1"/>
  <c r="Y21" i="1"/>
  <c r="Z21" i="1" s="1"/>
  <c r="AA21" i="1" s="1"/>
  <c r="AD18" i="1"/>
  <c r="P18" i="1"/>
  <c r="X15" i="1"/>
  <c r="O15" i="1"/>
  <c r="DG10" i="1"/>
  <c r="CL16" i="1" l="1"/>
  <c r="CL11" i="1"/>
  <c r="CD11" i="1" s="1"/>
  <c r="CN8" i="1"/>
  <c r="CF8" i="1" s="1"/>
  <c r="CL20" i="1"/>
  <c r="CL12" i="1"/>
  <c r="CO12" i="1" s="1"/>
  <c r="CP12" i="1" s="1"/>
  <c r="CQ12" i="1" s="1"/>
  <c r="CN18" i="1"/>
  <c r="CF18" i="1" s="1"/>
  <c r="CL13" i="1"/>
  <c r="CN17" i="1"/>
  <c r="CF17" i="1" s="1"/>
  <c r="Q11" i="1"/>
  <c r="CL24" i="1"/>
  <c r="CD24" i="1" s="1"/>
  <c r="Q20" i="1"/>
  <c r="R20" i="1" s="1"/>
  <c r="S20" i="1" s="1"/>
  <c r="T20" i="1" s="1"/>
  <c r="Q13" i="1"/>
  <c r="CD9" i="1"/>
  <c r="Q21" i="1"/>
  <c r="R21" i="1" s="1"/>
  <c r="S21" i="1" s="1"/>
  <c r="T21" i="1" s="1"/>
  <c r="CD16" i="1"/>
  <c r="CM26" i="1"/>
  <c r="CE26" i="1" s="1"/>
  <c r="CM9" i="1"/>
  <c r="CM15" i="1"/>
  <c r="CE15" i="1" s="1"/>
  <c r="CN9" i="1"/>
  <c r="CF9" i="1" s="1"/>
  <c r="CN25" i="1"/>
  <c r="CF25" i="1" s="1"/>
  <c r="CM11" i="1"/>
  <c r="CM21" i="1"/>
  <c r="CM12" i="1"/>
  <c r="CN19" i="1"/>
  <c r="CF19" i="1" s="1"/>
  <c r="CM16" i="1"/>
  <c r="CM10" i="1"/>
  <c r="CM22" i="1"/>
  <c r="CN13" i="1"/>
  <c r="CF13" i="1" s="1"/>
  <c r="CM19" i="1"/>
  <c r="CM13" i="1"/>
  <c r="CM23" i="1"/>
  <c r="CM14" i="1"/>
  <c r="CM24" i="1"/>
  <c r="CM18" i="1"/>
  <c r="CN12" i="1"/>
  <c r="CF12" i="1" s="1"/>
  <c r="CM25" i="1"/>
  <c r="CN24" i="1"/>
  <c r="CF24" i="1" s="1"/>
  <c r="CM20" i="1"/>
  <c r="CM17" i="1"/>
  <c r="CM8" i="1"/>
  <c r="CL14" i="1"/>
  <c r="CN20" i="1"/>
  <c r="CF20" i="1" s="1"/>
  <c r="CN14" i="1"/>
  <c r="CF14" i="1" s="1"/>
  <c r="CL8" i="1"/>
  <c r="Q12" i="1"/>
  <c r="R12" i="1" s="1"/>
  <c r="S12" i="1" s="1"/>
  <c r="T12" i="1" s="1"/>
  <c r="CN23" i="1"/>
  <c r="CF23" i="1" s="1"/>
  <c r="Q24" i="1"/>
  <c r="R24" i="1" s="1"/>
  <c r="CN16" i="1"/>
  <c r="CF16" i="1" s="1"/>
  <c r="CL21" i="1"/>
  <c r="CL19" i="1"/>
  <c r="AG12" i="1"/>
  <c r="AH12" i="1" s="1"/>
  <c r="AI12" i="1" s="1"/>
  <c r="AJ12" i="1" s="1"/>
  <c r="CN15" i="1"/>
  <c r="CF15" i="1" s="1"/>
  <c r="CN22" i="1"/>
  <c r="CF22" i="1" s="1"/>
  <c r="CL10" i="1"/>
  <c r="CT10" i="1" s="1"/>
  <c r="CL23" i="1"/>
  <c r="CL26" i="1"/>
  <c r="Y18" i="1"/>
  <c r="Z18" i="1" s="1"/>
  <c r="AA18" i="1" s="1"/>
  <c r="Z15" i="1"/>
  <c r="AA15" i="1" s="1"/>
  <c r="AD15" i="1"/>
  <c r="Y17" i="1"/>
  <c r="Z17" i="1" s="1"/>
  <c r="AA17" i="1" s="1"/>
  <c r="CD22" i="1"/>
  <c r="CO22" i="1"/>
  <c r="CP22" i="1" s="1"/>
  <c r="CQ22" i="1" s="1"/>
  <c r="CO19" i="1"/>
  <c r="CP19" i="1" s="1"/>
  <c r="CQ19" i="1" s="1"/>
  <c r="Q16" i="1"/>
  <c r="R16" i="1" s="1"/>
  <c r="S16" i="1" s="1"/>
  <c r="T16" i="1" s="1"/>
  <c r="Q15" i="1"/>
  <c r="AM5" i="1"/>
  <c r="AE5" i="1"/>
  <c r="AH2" i="1"/>
  <c r="AF6" i="1"/>
  <c r="AM17" i="1"/>
  <c r="AF19" i="1"/>
  <c r="CL30" i="1"/>
  <c r="AD22" i="1"/>
  <c r="AV18" i="1"/>
  <c r="Y22" i="1"/>
  <c r="Z22" i="1" s="1"/>
  <c r="AA22" i="1" s="1"/>
  <c r="AD19" i="1"/>
  <c r="AE20" i="1"/>
  <c r="AF22" i="1"/>
  <c r="AM20" i="1"/>
  <c r="Y24" i="1"/>
  <c r="AO12" i="1"/>
  <c r="AN10" i="1"/>
  <c r="AV14" i="1"/>
  <c r="AV13" i="1"/>
  <c r="AO11" i="1"/>
  <c r="CD13" i="1"/>
  <c r="CT13" i="1"/>
  <c r="R22" i="1"/>
  <c r="S22" i="1" s="1"/>
  <c r="T22" i="1" s="1"/>
  <c r="R19" i="1"/>
  <c r="S19" i="1" s="1"/>
  <c r="T19" i="1" s="1"/>
  <c r="R15" i="1"/>
  <c r="S15" i="1" s="1"/>
  <c r="T15" i="1" s="1"/>
  <c r="R13" i="1"/>
  <c r="S13" i="1" s="1"/>
  <c r="T13" i="1" s="1"/>
  <c r="R11" i="1"/>
  <c r="S11" i="1" s="1"/>
  <c r="T11" i="1" s="1"/>
  <c r="R10" i="1"/>
  <c r="S10" i="1" s="1"/>
  <c r="T10" i="1" s="1"/>
  <c r="Q18" i="1"/>
  <c r="R18" i="1" s="1"/>
  <c r="S18" i="1" s="1"/>
  <c r="T18" i="1" s="1"/>
  <c r="AF20" i="1"/>
  <c r="AE18" i="1"/>
  <c r="AM18" i="1"/>
  <c r="AD16" i="1"/>
  <c r="AE17" i="1" s="1"/>
  <c r="Y19" i="1"/>
  <c r="Z19" i="1" s="1"/>
  <c r="AA19" i="1" s="1"/>
  <c r="Q17" i="1"/>
  <c r="R17" i="1" s="1"/>
  <c r="S17" i="1" s="1"/>
  <c r="T17" i="1" s="1"/>
  <c r="CD25" i="1"/>
  <c r="CO25" i="1"/>
  <c r="CP25" i="1" s="1"/>
  <c r="CQ25" i="1" s="1"/>
  <c r="AD23" i="1"/>
  <c r="Z23" i="1"/>
  <c r="AA23" i="1" s="1"/>
  <c r="AM21" i="1"/>
  <c r="AF23" i="1"/>
  <c r="AE21" i="1"/>
  <c r="Y16" i="1"/>
  <c r="Z16" i="1" s="1"/>
  <c r="AA16" i="1" s="1"/>
  <c r="AD13" i="1"/>
  <c r="Z13" i="1"/>
  <c r="AA13" i="1" s="1"/>
  <c r="Y14" i="1"/>
  <c r="Z14" i="1" s="1"/>
  <c r="AA14" i="1" s="1"/>
  <c r="Q8" i="1"/>
  <c r="R8" i="1" s="1"/>
  <c r="Q9" i="1"/>
  <c r="R9" i="1" s="1"/>
  <c r="S9" i="1" s="1"/>
  <c r="AM7" i="1"/>
  <c r="CD15" i="1"/>
  <c r="Y11" i="1"/>
  <c r="Z11" i="1" s="1"/>
  <c r="AA11" i="1" s="1"/>
  <c r="AD8" i="1"/>
  <c r="AF9" i="1" s="1"/>
  <c r="AF14" i="1"/>
  <c r="AE12" i="1"/>
  <c r="AM12" i="1"/>
  <c r="AO13" i="1" s="1"/>
  <c r="Y9" i="1"/>
  <c r="Z9" i="1" s="1"/>
  <c r="AD6" i="1"/>
  <c r="AF7" i="1" s="1"/>
  <c r="Q14" i="1"/>
  <c r="R14" i="1" s="1"/>
  <c r="S14" i="1" s="1"/>
  <c r="T14" i="1" s="1"/>
  <c r="Q23" i="1"/>
  <c r="R23" i="1" s="1"/>
  <c r="S23" i="1" s="1"/>
  <c r="T23" i="1" s="1"/>
  <c r="CO20" i="1"/>
  <c r="CP20" i="1" s="1"/>
  <c r="CQ20" i="1" s="1"/>
  <c r="CD20" i="1"/>
  <c r="AN11" i="1"/>
  <c r="AV15" i="1"/>
  <c r="Y8" i="1"/>
  <c r="Y20" i="1"/>
  <c r="Z20" i="1" s="1"/>
  <c r="AA20" i="1" s="1"/>
  <c r="CT21" i="1" l="1"/>
  <c r="CT18" i="1"/>
  <c r="CD12" i="1"/>
  <c r="CT19" i="1"/>
  <c r="CO21" i="1"/>
  <c r="CP21" i="1" s="1"/>
  <c r="CQ21" i="1" s="1"/>
  <c r="CD10" i="1"/>
  <c r="CO10" i="1"/>
  <c r="CP10" i="1" s="1"/>
  <c r="CQ10" i="1" s="1"/>
  <c r="CU20" i="1"/>
  <c r="CE20" i="1"/>
  <c r="CE18" i="1"/>
  <c r="CU18" i="1"/>
  <c r="CO18" i="1"/>
  <c r="CP18" i="1" s="1"/>
  <c r="CQ18" i="1" s="1"/>
  <c r="CE13" i="1"/>
  <c r="CU13" i="1"/>
  <c r="CE10" i="1"/>
  <c r="CU10" i="1"/>
  <c r="CE21" i="1"/>
  <c r="CU21" i="1"/>
  <c r="CT9" i="1"/>
  <c r="CT20" i="1"/>
  <c r="CT17" i="1"/>
  <c r="CT8" i="1"/>
  <c r="CT25" i="1"/>
  <c r="CT24" i="1"/>
  <c r="CD14" i="1"/>
  <c r="CO14" i="1"/>
  <c r="CP14" i="1" s="1"/>
  <c r="CQ14" i="1" s="1"/>
  <c r="CE24" i="1"/>
  <c r="CU24" i="1"/>
  <c r="CE19" i="1"/>
  <c r="CU19" i="1"/>
  <c r="CE16" i="1"/>
  <c r="CU16" i="1"/>
  <c r="CE11" i="1"/>
  <c r="CU11" i="1"/>
  <c r="CO11" i="1"/>
  <c r="CP11" i="1" s="1"/>
  <c r="CQ11" i="1" s="1"/>
  <c r="CE9" i="1"/>
  <c r="CU9" i="1"/>
  <c r="CO9" i="1"/>
  <c r="CP9" i="1" s="1"/>
  <c r="CQ9" i="1" s="1"/>
  <c r="CO24" i="1"/>
  <c r="CP24" i="1" s="1"/>
  <c r="CQ24" i="1" s="1"/>
  <c r="CD21" i="1"/>
  <c r="CT16" i="1"/>
  <c r="CO15" i="1"/>
  <c r="CP15" i="1" s="1"/>
  <c r="CQ15" i="1" s="1"/>
  <c r="DB15" i="1" s="1"/>
  <c r="CT12" i="1"/>
  <c r="CT14" i="1"/>
  <c r="CD19" i="1"/>
  <c r="CT22" i="1"/>
  <c r="CO26" i="1"/>
  <c r="CP26" i="1" s="1"/>
  <c r="CQ26" i="1" s="1"/>
  <c r="DB26" i="1" s="1"/>
  <c r="DH26" i="1" s="1"/>
  <c r="CD26" i="1"/>
  <c r="CO8" i="1"/>
  <c r="CP8" i="1" s="1"/>
  <c r="CQ8" i="1" s="1"/>
  <c r="CD8" i="1"/>
  <c r="CU15" i="1"/>
  <c r="CU8" i="1"/>
  <c r="CE8" i="1"/>
  <c r="CM30" i="1"/>
  <c r="CE27" i="1" s="1"/>
  <c r="CE25" i="1"/>
  <c r="CU25" i="1"/>
  <c r="CE14" i="1"/>
  <c r="CU14" i="1"/>
  <c r="CT23" i="1"/>
  <c r="CT15" i="1"/>
  <c r="AG19" i="1"/>
  <c r="AH19" i="1" s="1"/>
  <c r="AI19" i="1" s="1"/>
  <c r="AJ19" i="1" s="1"/>
  <c r="CO13" i="1"/>
  <c r="CP13" i="1" s="1"/>
  <c r="CQ13" i="1" s="1"/>
  <c r="CR13" i="1" s="1"/>
  <c r="CT11" i="1"/>
  <c r="CD23" i="1"/>
  <c r="CO23" i="1"/>
  <c r="CP23" i="1" s="1"/>
  <c r="CQ23" i="1" s="1"/>
  <c r="CE17" i="1"/>
  <c r="CO17" i="1"/>
  <c r="CP17" i="1" s="1"/>
  <c r="CQ17" i="1" s="1"/>
  <c r="CU17" i="1"/>
  <c r="CE23" i="1"/>
  <c r="CU23" i="1"/>
  <c r="CE22" i="1"/>
  <c r="CU22" i="1"/>
  <c r="CE12" i="1"/>
  <c r="CU12" i="1"/>
  <c r="CO16" i="1"/>
  <c r="CP16" i="1" s="1"/>
  <c r="CQ16" i="1" s="1"/>
  <c r="T9" i="1"/>
  <c r="T2" i="1" s="1"/>
  <c r="T3" i="1" s="1"/>
  <c r="M32" i="1" s="1"/>
  <c r="S2" i="1"/>
  <c r="M33" i="1" s="1"/>
  <c r="BD15" i="1"/>
  <c r="DB20" i="1"/>
  <c r="CR20" i="1"/>
  <c r="CR15" i="1"/>
  <c r="AE7" i="1"/>
  <c r="BD13" i="1"/>
  <c r="BD14" i="1"/>
  <c r="AF21" i="1"/>
  <c r="AM19" i="1"/>
  <c r="AN20" i="1" s="1"/>
  <c r="AE19" i="1"/>
  <c r="AG21" i="1" s="1"/>
  <c r="AH21" i="1" s="1"/>
  <c r="AI21" i="1" s="1"/>
  <c r="AJ21" i="1" s="1"/>
  <c r="AV21" i="1"/>
  <c r="AO19" i="1"/>
  <c r="AF8" i="1"/>
  <c r="AE6" i="1"/>
  <c r="AG8" i="1" s="1"/>
  <c r="AM6" i="1"/>
  <c r="AQ2" i="1" s="1"/>
  <c r="AM23" i="1"/>
  <c r="AE23" i="1"/>
  <c r="AG20" i="1"/>
  <c r="AH20" i="1" s="1"/>
  <c r="AI20" i="1" s="1"/>
  <c r="AJ20" i="1" s="1"/>
  <c r="AP12" i="1"/>
  <c r="AQ12" i="1" s="1"/>
  <c r="AG22" i="1"/>
  <c r="AH22" i="1" s="1"/>
  <c r="AF24" i="1"/>
  <c r="AI22" i="1"/>
  <c r="AJ22" i="1" s="1"/>
  <c r="AE22" i="1"/>
  <c r="AM22" i="1"/>
  <c r="AO23" i="1" s="1"/>
  <c r="AV9" i="1"/>
  <c r="AN5" i="1"/>
  <c r="AA9" i="1"/>
  <c r="AA2" i="1" s="1"/>
  <c r="AA3" i="1" s="1"/>
  <c r="K32" i="1" s="1"/>
  <c r="Z2" i="1"/>
  <c r="K33" i="1" s="1"/>
  <c r="AF15" i="1"/>
  <c r="AE13" i="1"/>
  <c r="AM13" i="1"/>
  <c r="AO14" i="1" s="1"/>
  <c r="AE14" i="1"/>
  <c r="AF18" i="1"/>
  <c r="AM16" i="1"/>
  <c r="AE16" i="1"/>
  <c r="AG18" i="1" s="1"/>
  <c r="AG13" i="1"/>
  <c r="AH13" i="1" s="1"/>
  <c r="AI13" i="1" s="1"/>
  <c r="AJ13" i="1" s="1"/>
  <c r="DB19" i="1"/>
  <c r="CR19" i="1"/>
  <c r="DB21" i="1"/>
  <c r="CR21" i="1"/>
  <c r="AV16" i="1"/>
  <c r="AR12" i="1"/>
  <c r="AS12" i="1" s="1"/>
  <c r="AN12" i="1"/>
  <c r="AP13" i="1" s="1"/>
  <c r="AQ13" i="1" s="1"/>
  <c r="AM8" i="1"/>
  <c r="AF10" i="1"/>
  <c r="AE8" i="1"/>
  <c r="AE9" i="1"/>
  <c r="AG11" i="1" s="1"/>
  <c r="AH11" i="1" s="1"/>
  <c r="AI11" i="1" s="1"/>
  <c r="AJ11" i="1" s="1"/>
  <c r="AV11" i="1"/>
  <c r="AN7" i="1"/>
  <c r="AO9" i="1"/>
  <c r="AV25" i="1"/>
  <c r="AN21" i="1"/>
  <c r="CR25" i="1"/>
  <c r="DB25" i="1"/>
  <c r="AV22" i="1"/>
  <c r="AO20" i="1"/>
  <c r="AN18" i="1"/>
  <c r="DB12" i="1"/>
  <c r="CR12" i="1"/>
  <c r="AV24" i="1"/>
  <c r="AO22" i="1"/>
  <c r="BD18" i="1"/>
  <c r="CR22" i="1"/>
  <c r="DB22" i="1"/>
  <c r="AF17" i="1"/>
  <c r="AE15" i="1"/>
  <c r="AM15" i="1"/>
  <c r="AF16" i="1"/>
  <c r="DB13" i="1" l="1"/>
  <c r="AG10" i="1"/>
  <c r="AH10" i="1" s="1"/>
  <c r="AI10" i="1" s="1"/>
  <c r="AJ10" i="1" s="1"/>
  <c r="AG15" i="1"/>
  <c r="AH15" i="1" s="1"/>
  <c r="AI15" i="1" s="1"/>
  <c r="AJ15" i="1" s="1"/>
  <c r="CT30" i="1"/>
  <c r="CT31" i="1" s="1"/>
  <c r="AH18" i="1"/>
  <c r="AI18" i="1" s="1"/>
  <c r="AJ18" i="1" s="1"/>
  <c r="DB23" i="1"/>
  <c r="CR23" i="1"/>
  <c r="DB8" i="1"/>
  <c r="DC8" i="1" s="1"/>
  <c r="DD8" i="1" s="1"/>
  <c r="CR8" i="1"/>
  <c r="CU30" i="1"/>
  <c r="CU31" i="1" s="1"/>
  <c r="DB18" i="1"/>
  <c r="CR18" i="1"/>
  <c r="AG17" i="1"/>
  <c r="AH17" i="1" s="1"/>
  <c r="AI17" i="1" s="1"/>
  <c r="AJ17" i="1" s="1"/>
  <c r="AO8" i="1"/>
  <c r="DB16" i="1"/>
  <c r="CR16" i="1"/>
  <c r="CR17" i="1"/>
  <c r="DB17" i="1"/>
  <c r="CR24" i="1"/>
  <c r="DB24" i="1"/>
  <c r="CR11" i="1"/>
  <c r="DB11" i="1"/>
  <c r="CR10" i="1"/>
  <c r="DB10" i="1"/>
  <c r="AG7" i="1"/>
  <c r="AH7" i="1" s="1"/>
  <c r="AG24" i="1"/>
  <c r="AH24" i="1" s="1"/>
  <c r="DB9" i="1"/>
  <c r="CR9" i="1"/>
  <c r="CR14" i="1"/>
  <c r="DB14" i="1"/>
  <c r="AN15" i="1"/>
  <c r="AV19" i="1"/>
  <c r="AO17" i="1"/>
  <c r="AO16" i="1"/>
  <c r="DH22" i="1"/>
  <c r="DC22" i="1"/>
  <c r="BD24" i="1"/>
  <c r="DH12" i="1"/>
  <c r="DC12" i="1"/>
  <c r="BD22" i="1"/>
  <c r="AV17" i="1"/>
  <c r="AO15" i="1"/>
  <c r="AR13" i="1"/>
  <c r="AS13" i="1" s="1"/>
  <c r="AN13" i="1"/>
  <c r="AP14" i="1" s="1"/>
  <c r="AQ14" i="1" s="1"/>
  <c r="AR14" i="1" s="1"/>
  <c r="AS14" i="1" s="1"/>
  <c r="AN14" i="1"/>
  <c r="AV27" i="1"/>
  <c r="AN23" i="1"/>
  <c r="AH8" i="1"/>
  <c r="BD21" i="1"/>
  <c r="DH15" i="1"/>
  <c r="DC15" i="1"/>
  <c r="DH13" i="1"/>
  <c r="DC13" i="1"/>
  <c r="DH25" i="1"/>
  <c r="DC25" i="1"/>
  <c r="BD11" i="1"/>
  <c r="AN8" i="1"/>
  <c r="AO10" i="1"/>
  <c r="AV12" i="1"/>
  <c r="AN9" i="1"/>
  <c r="AP11" i="1" s="1"/>
  <c r="AQ11" i="1" s="1"/>
  <c r="AR11" i="1" s="1"/>
  <c r="AS11" i="1" s="1"/>
  <c r="BD16" i="1"/>
  <c r="DH21" i="1"/>
  <c r="DC21" i="1"/>
  <c r="AV20" i="1"/>
  <c r="AO18" i="1"/>
  <c r="AN16" i="1"/>
  <c r="AN17" i="1"/>
  <c r="AP19" i="1" s="1"/>
  <c r="AQ19" i="1" s="1"/>
  <c r="AG23" i="1"/>
  <c r="AH23" i="1" s="1"/>
  <c r="AI23" i="1" s="1"/>
  <c r="AJ23" i="1" s="1"/>
  <c r="AG14" i="1"/>
  <c r="AH14" i="1" s="1"/>
  <c r="AI14" i="1" s="1"/>
  <c r="AJ14" i="1" s="1"/>
  <c r="AP22" i="1"/>
  <c r="AQ22" i="1" s="1"/>
  <c r="AR22" i="1" s="1"/>
  <c r="AS22" i="1" s="1"/>
  <c r="BD25" i="1"/>
  <c r="BD9" i="1"/>
  <c r="AG9" i="1"/>
  <c r="AH9" i="1" s="1"/>
  <c r="AI9" i="1" s="1"/>
  <c r="DH19" i="1"/>
  <c r="DC19" i="1"/>
  <c r="AG16" i="1"/>
  <c r="AH16" i="1" s="1"/>
  <c r="AI16" i="1" s="1"/>
  <c r="AJ16" i="1" s="1"/>
  <c r="AV26" i="1"/>
  <c r="AO24" i="1"/>
  <c r="AN22" i="1"/>
  <c r="AV10" i="1"/>
  <c r="AX6" i="1" s="1"/>
  <c r="AW6" i="1" s="1"/>
  <c r="AN6" i="1"/>
  <c r="AP8" i="1" s="1"/>
  <c r="AV23" i="1"/>
  <c r="AO21" i="1"/>
  <c r="AN19" i="1"/>
  <c r="AP21" i="1" s="1"/>
  <c r="AR19" i="1"/>
  <c r="AS19" i="1" s="1"/>
  <c r="DH20" i="1"/>
  <c r="DC20" i="1"/>
  <c r="AP16" i="1" l="1"/>
  <c r="AQ16" i="1" s="1"/>
  <c r="AR16" i="1" s="1"/>
  <c r="AS16" i="1" s="1"/>
  <c r="AQ8" i="1"/>
  <c r="AP9" i="1"/>
  <c r="AQ9" i="1" s="1"/>
  <c r="AR9" i="1" s="1"/>
  <c r="AP24" i="1"/>
  <c r="AQ24" i="1" s="1"/>
  <c r="AP10" i="1"/>
  <c r="AQ10" i="1" s="1"/>
  <c r="AR10" i="1" s="1"/>
  <c r="AP23" i="1"/>
  <c r="AQ23" i="1" s="1"/>
  <c r="AR23" i="1" s="1"/>
  <c r="AS23" i="1" s="1"/>
  <c r="DH10" i="1"/>
  <c r="DC10" i="1"/>
  <c r="DH24" i="1"/>
  <c r="DC24" i="1"/>
  <c r="DH9" i="1"/>
  <c r="DC9" i="1"/>
  <c r="DC16" i="1"/>
  <c r="DH16" i="1"/>
  <c r="DH18" i="1"/>
  <c r="DC18" i="1"/>
  <c r="AP15" i="1"/>
  <c r="DH14" i="1"/>
  <c r="DC14" i="1"/>
  <c r="DH11" i="1"/>
  <c r="DC11" i="1"/>
  <c r="DC5" i="1" s="1"/>
  <c r="Q33" i="1" s="1"/>
  <c r="DH17" i="1"/>
  <c r="DC17" i="1"/>
  <c r="DC23" i="1"/>
  <c r="DH23" i="1"/>
  <c r="BD23" i="1"/>
  <c r="BD20" i="1"/>
  <c r="DP15" i="1"/>
  <c r="DD15" i="1"/>
  <c r="DP12" i="1"/>
  <c r="DD12" i="1"/>
  <c r="DD19" i="1"/>
  <c r="DP19" i="1"/>
  <c r="AP20" i="1"/>
  <c r="AQ20" i="1" s="1"/>
  <c r="AR20" i="1" s="1"/>
  <c r="AS20" i="1" s="1"/>
  <c r="DP22" i="1"/>
  <c r="DD22" i="1"/>
  <c r="BD19" i="1"/>
  <c r="DP20" i="1"/>
  <c r="DD20" i="1"/>
  <c r="AQ21" i="1"/>
  <c r="AR21" i="1" s="1"/>
  <c r="AS21" i="1" s="1"/>
  <c r="AI2" i="1"/>
  <c r="L33" i="1" s="1"/>
  <c r="AJ9" i="1"/>
  <c r="AJ2" i="1" s="1"/>
  <c r="AJ3" i="1" s="1"/>
  <c r="L32" i="1" s="1"/>
  <c r="AP18" i="1"/>
  <c r="AQ18" i="1" s="1"/>
  <c r="AR18" i="1" s="1"/>
  <c r="AS18" i="1" s="1"/>
  <c r="DD21" i="1"/>
  <c r="DP21" i="1"/>
  <c r="DP13" i="1"/>
  <c r="DD13" i="1"/>
  <c r="BD17" i="1"/>
  <c r="AP17" i="1"/>
  <c r="AQ17" i="1" s="1"/>
  <c r="AR17" i="1" s="1"/>
  <c r="AS17" i="1" s="1"/>
  <c r="BD10" i="1"/>
  <c r="BD26" i="1"/>
  <c r="AX4" i="1"/>
  <c r="AS9" i="1"/>
  <c r="BD12" i="1"/>
  <c r="AX3" i="1"/>
  <c r="DP25" i="1"/>
  <c r="DD25" i="1"/>
  <c r="BD27" i="1"/>
  <c r="AQ15" i="1"/>
  <c r="AR15" i="1" s="1"/>
  <c r="AS15" i="1" s="1"/>
  <c r="AS10" i="1" l="1"/>
  <c r="AR2" i="1"/>
  <c r="N33" i="1" s="1"/>
  <c r="DD23" i="1"/>
  <c r="DP23" i="1"/>
  <c r="DD18" i="1"/>
  <c r="DP18" i="1"/>
  <c r="DD9" i="1"/>
  <c r="DP9" i="1"/>
  <c r="DD17" i="1"/>
  <c r="DP17" i="1"/>
  <c r="DP14" i="1"/>
  <c r="DD14" i="1"/>
  <c r="DP10" i="1"/>
  <c r="DD10" i="1"/>
  <c r="DP11" i="1"/>
  <c r="DD11" i="1"/>
  <c r="DD16" i="1"/>
  <c r="DP16" i="1"/>
  <c r="DP24" i="1"/>
  <c r="DD24" i="1"/>
  <c r="BF4" i="1"/>
  <c r="BF3" i="1"/>
  <c r="AX5" i="1"/>
  <c r="AX7" i="1" s="1"/>
  <c r="AW7" i="1" s="1"/>
  <c r="AY8" i="1" s="1"/>
  <c r="AS2" i="1"/>
  <c r="AS3" i="1" s="1"/>
  <c r="N32" i="1" s="1"/>
  <c r="BF6" i="1"/>
  <c r="BE6" i="1" s="1"/>
  <c r="DD5" i="1" l="1"/>
  <c r="DD6" i="1" s="1"/>
  <c r="Q32" i="1" s="1"/>
  <c r="AZ8" i="1"/>
  <c r="BA8" i="1" s="1"/>
  <c r="AX8" i="1"/>
  <c r="BF5" i="1"/>
  <c r="BF7" i="1" s="1"/>
  <c r="BE7" i="1" s="1"/>
  <c r="BG8" i="1" s="1"/>
  <c r="BH8" i="1" l="1"/>
  <c r="BI8" i="1" s="1"/>
  <c r="AW8" i="1"/>
  <c r="AY9" i="1" s="1"/>
  <c r="BF8" i="1" l="1"/>
  <c r="AZ9" i="1"/>
  <c r="BE8" i="1"/>
  <c r="BG9" i="1" s="1"/>
  <c r="BH9" i="1" l="1"/>
  <c r="BI9" i="1" s="1"/>
  <c r="BA9" i="1"/>
  <c r="DO9" i="1"/>
  <c r="AX9" i="1"/>
  <c r="AW9" i="1"/>
  <c r="BF9" i="1"/>
  <c r="BE9" i="1" l="1"/>
  <c r="AY10" i="1"/>
  <c r="BG10" i="1"/>
  <c r="AZ10" i="1" l="1"/>
  <c r="BH10" i="1"/>
  <c r="BE10" i="1" s="1"/>
  <c r="BI10" i="1" l="1"/>
  <c r="BF10" i="1"/>
  <c r="BA10" i="1"/>
  <c r="DO10" i="1"/>
  <c r="AX10" i="1"/>
  <c r="BG11" i="1"/>
  <c r="AW10" i="1"/>
  <c r="AY11" i="1" s="1"/>
  <c r="DI9" i="1" l="1"/>
  <c r="DJ9" i="1" s="1"/>
  <c r="DK9" i="1" s="1"/>
  <c r="AZ11" i="1"/>
  <c r="BH11" i="1"/>
  <c r="BI11" i="1" l="1"/>
  <c r="BA11" i="1"/>
  <c r="DO11" i="1"/>
  <c r="AX11" i="1"/>
  <c r="BF11" i="1"/>
  <c r="BE11" i="1"/>
  <c r="BG12" i="1" s="1"/>
  <c r="DQ9" i="1"/>
  <c r="DR9" i="1" s="1"/>
  <c r="DL9" i="1"/>
  <c r="AW11" i="1"/>
  <c r="AY12" i="1" l="1"/>
  <c r="BH12" i="1"/>
  <c r="BF12" i="1" s="1"/>
  <c r="DI10" i="1"/>
  <c r="DJ10" i="1" s="1"/>
  <c r="DK10" i="1" s="1"/>
  <c r="AZ12" i="1"/>
  <c r="AW12" i="1" s="1"/>
  <c r="AX12" i="1" l="1"/>
  <c r="AY13" i="1" s="1"/>
  <c r="BA12" i="1"/>
  <c r="DO12" i="1"/>
  <c r="BI12" i="1"/>
  <c r="DQ10" i="1"/>
  <c r="DR10" i="1" s="1"/>
  <c r="DL10" i="1"/>
  <c r="BE12" i="1"/>
  <c r="BG13" i="1" s="1"/>
  <c r="DI11" i="1" l="1"/>
  <c r="DJ11" i="1" s="1"/>
  <c r="DK11" i="1" s="1"/>
  <c r="AZ13" i="1"/>
  <c r="AX13" i="1" s="1"/>
  <c r="BH13" i="1"/>
  <c r="BE13" i="1" s="1"/>
  <c r="DO13" i="1"/>
  <c r="DQ11" i="1"/>
  <c r="DR11" i="1" s="1"/>
  <c r="DL11" i="1"/>
  <c r="AW13" i="1" l="1"/>
  <c r="AY14" i="1" s="1"/>
  <c r="BA13" i="1"/>
  <c r="DI12" i="1"/>
  <c r="DJ12" i="1" s="1"/>
  <c r="DK12" i="1" s="1"/>
  <c r="AZ14" i="1"/>
  <c r="AW14" i="1" s="1"/>
  <c r="DT11" i="1"/>
  <c r="DS11" i="1"/>
  <c r="DU11" i="1"/>
  <c r="BI13" i="1"/>
  <c r="BF13" i="1"/>
  <c r="DQ12" i="1" l="1"/>
  <c r="DR12" i="1" s="1"/>
  <c r="DL12" i="1"/>
  <c r="BA14" i="1"/>
  <c r="DO14" i="1"/>
  <c r="AX14" i="1"/>
  <c r="BG14" i="1"/>
  <c r="BH14" i="1" l="1"/>
  <c r="BE14" i="1" s="1"/>
  <c r="DU12" i="1"/>
  <c r="DT12" i="1"/>
  <c r="DS12" i="1"/>
  <c r="AY15" i="1"/>
  <c r="DI13" i="1" l="1"/>
  <c r="DJ13" i="1" s="1"/>
  <c r="DK13" i="1" s="1"/>
  <c r="AZ15" i="1"/>
  <c r="AW15" i="1" s="1"/>
  <c r="BI14" i="1"/>
  <c r="BF14" i="1"/>
  <c r="BA15" i="1" l="1"/>
  <c r="DO15" i="1"/>
  <c r="AX15" i="1"/>
  <c r="AY16" i="1" s="1"/>
  <c r="DQ13" i="1"/>
  <c r="DR13" i="1" s="1"/>
  <c r="DL13" i="1"/>
  <c r="BG15" i="1"/>
  <c r="DT13" i="1" l="1"/>
  <c r="DU13" i="1"/>
  <c r="DS13" i="1"/>
  <c r="DI14" i="1"/>
  <c r="DJ14" i="1" s="1"/>
  <c r="DK14" i="1" s="1"/>
  <c r="AZ16" i="1"/>
  <c r="AX16" i="1"/>
  <c r="BH15" i="1"/>
  <c r="BE15" i="1" s="1"/>
  <c r="DO16" i="1" l="1"/>
  <c r="BA16" i="1"/>
  <c r="BI15" i="1"/>
  <c r="BF15" i="1"/>
  <c r="AW16" i="1"/>
  <c r="AY17" i="1" s="1"/>
  <c r="DQ14" i="1"/>
  <c r="DR14" i="1" s="1"/>
  <c r="DL14" i="1"/>
  <c r="DT14" i="1" l="1"/>
  <c r="DU14" i="1"/>
  <c r="DS14" i="1"/>
  <c r="BG16" i="1"/>
  <c r="DI15" i="1"/>
  <c r="DJ15" i="1" s="1"/>
  <c r="DK15" i="1" s="1"/>
  <c r="AZ17" i="1"/>
  <c r="AW17" i="1" s="1"/>
  <c r="DO17" i="1" l="1"/>
  <c r="BA17" i="1"/>
  <c r="AX17" i="1"/>
  <c r="AY18" i="1" s="1"/>
  <c r="DQ15" i="1"/>
  <c r="DR15" i="1" s="1"/>
  <c r="DL15" i="1"/>
  <c r="BH16" i="1"/>
  <c r="BI16" i="1" l="1"/>
  <c r="BF16" i="1"/>
  <c r="BE16" i="1"/>
  <c r="DU15" i="1"/>
  <c r="DT15" i="1"/>
  <c r="DS15" i="1"/>
  <c r="DI16" i="1"/>
  <c r="DJ16" i="1" s="1"/>
  <c r="DK16" i="1" s="1"/>
  <c r="AZ18" i="1"/>
  <c r="DO18" i="1" l="1"/>
  <c r="BA18" i="1"/>
  <c r="AW18" i="1"/>
  <c r="BG17" i="1"/>
  <c r="AX18" i="1"/>
  <c r="DL16" i="1"/>
  <c r="DQ16" i="1"/>
  <c r="DR16" i="1" s="1"/>
  <c r="BH17" i="1" l="1"/>
  <c r="AY19" i="1"/>
  <c r="DU16" i="1"/>
  <c r="DS16" i="1"/>
  <c r="DT16" i="1"/>
  <c r="DI17" i="1" l="1"/>
  <c r="DJ17" i="1" s="1"/>
  <c r="DK17" i="1" s="1"/>
  <c r="AZ19" i="1"/>
  <c r="BI17" i="1"/>
  <c r="BF17" i="1"/>
  <c r="BE17" i="1"/>
  <c r="DO19" i="1" l="1"/>
  <c r="BA19" i="1"/>
  <c r="AX19" i="1"/>
  <c r="BG18" i="1"/>
  <c r="AW19" i="1"/>
  <c r="DL17" i="1"/>
  <c r="DQ17" i="1"/>
  <c r="DR17" i="1" s="1"/>
  <c r="DT17" i="1" l="1"/>
  <c r="DS17" i="1"/>
  <c r="DU17" i="1"/>
  <c r="BH18" i="1"/>
  <c r="BE18" i="1" s="1"/>
  <c r="AY20" i="1"/>
  <c r="DI18" i="1" l="1"/>
  <c r="DJ18" i="1" s="1"/>
  <c r="DK18" i="1" s="1"/>
  <c r="AZ20" i="1"/>
  <c r="AW20" i="1" s="1"/>
  <c r="BI18" i="1"/>
  <c r="BF18" i="1"/>
  <c r="DQ18" i="1" l="1"/>
  <c r="DR18" i="1" s="1"/>
  <c r="DL18" i="1"/>
  <c r="BA20" i="1"/>
  <c r="DO20" i="1"/>
  <c r="AX20" i="1"/>
  <c r="AY21" i="1" s="1"/>
  <c r="BG19" i="1"/>
  <c r="DI19" i="1" l="1"/>
  <c r="DJ19" i="1" s="1"/>
  <c r="DK19" i="1" s="1"/>
  <c r="AZ21" i="1"/>
  <c r="BH19" i="1"/>
  <c r="AX21" i="1"/>
  <c r="DU18" i="1"/>
  <c r="DT18" i="1"/>
  <c r="DS18" i="1"/>
  <c r="DO21" i="1" l="1"/>
  <c r="BA21" i="1"/>
  <c r="BI19" i="1"/>
  <c r="BF19" i="1"/>
  <c r="DL19" i="1"/>
  <c r="DQ19" i="1"/>
  <c r="DR19" i="1" s="1"/>
  <c r="BE19" i="1"/>
  <c r="AW21" i="1"/>
  <c r="AY22" i="1" s="1"/>
  <c r="BG20" i="1" l="1"/>
  <c r="BH20" i="1"/>
  <c r="BI20" i="1" s="1"/>
  <c r="DU19" i="1"/>
  <c r="DS19" i="1"/>
  <c r="DT19" i="1"/>
  <c r="DI20" i="1"/>
  <c r="DJ20" i="1" s="1"/>
  <c r="DK20" i="1" s="1"/>
  <c r="AZ22" i="1"/>
  <c r="AW22" i="1" s="1"/>
  <c r="BF20" i="1"/>
  <c r="BA22" i="1" l="1"/>
  <c r="DO22" i="1"/>
  <c r="AX22" i="1"/>
  <c r="BE20" i="1"/>
  <c r="BG21" i="1" s="1"/>
  <c r="DL20" i="1"/>
  <c r="DQ20" i="1"/>
  <c r="DR20" i="1" s="1"/>
  <c r="DU20" i="1" l="1"/>
  <c r="DT20" i="1"/>
  <c r="DS20" i="1"/>
  <c r="BH21" i="1"/>
  <c r="BE21" i="1" s="1"/>
  <c r="AY23" i="1"/>
  <c r="DI21" i="1" l="1"/>
  <c r="DJ21" i="1" s="1"/>
  <c r="DK21" i="1" s="1"/>
  <c r="AZ23" i="1"/>
  <c r="BI21" i="1"/>
  <c r="BF21" i="1"/>
  <c r="BG22" i="1" s="1"/>
  <c r="BH22" i="1" l="1"/>
  <c r="BI22" i="1" s="1"/>
  <c r="DO23" i="1"/>
  <c r="BA23" i="1"/>
  <c r="AX23" i="1"/>
  <c r="BF22" i="1"/>
  <c r="DL21" i="1"/>
  <c r="DQ21" i="1"/>
  <c r="DR21" i="1" s="1"/>
  <c r="AW23" i="1"/>
  <c r="AY24" i="1" s="1"/>
  <c r="DS21" i="1" l="1"/>
  <c r="DU21" i="1"/>
  <c r="DT21" i="1"/>
  <c r="DI22" i="1"/>
  <c r="DJ22" i="1" s="1"/>
  <c r="DK22" i="1" s="1"/>
  <c r="AZ24" i="1"/>
  <c r="BE22" i="1"/>
  <c r="BG23" i="1" s="1"/>
  <c r="DL22" i="1" l="1"/>
  <c r="DQ22" i="1"/>
  <c r="DR22" i="1" s="1"/>
  <c r="DO24" i="1"/>
  <c r="BA24" i="1"/>
  <c r="BH23" i="1"/>
  <c r="AW24" i="1"/>
  <c r="AX24" i="1"/>
  <c r="AY25" i="1" l="1"/>
  <c r="BI23" i="1"/>
  <c r="BF23" i="1"/>
  <c r="DT22" i="1"/>
  <c r="DS22" i="1"/>
  <c r="DU22" i="1"/>
  <c r="AW25" i="1"/>
  <c r="DI23" i="1"/>
  <c r="DJ23" i="1" s="1"/>
  <c r="DK23" i="1" s="1"/>
  <c r="AZ25" i="1"/>
  <c r="BE23" i="1"/>
  <c r="BG24" i="1" l="1"/>
  <c r="BA25" i="1"/>
  <c r="DO25" i="1"/>
  <c r="BH24" i="1"/>
  <c r="BI24" i="1" s="1"/>
  <c r="DL23" i="1"/>
  <c r="DQ23" i="1"/>
  <c r="DR23" i="1" s="1"/>
  <c r="AX25" i="1"/>
  <c r="DT23" i="1" l="1"/>
  <c r="DS23" i="1"/>
  <c r="DU23" i="1"/>
  <c r="BF24" i="1"/>
  <c r="BE24" i="1"/>
  <c r="AY26" i="1"/>
  <c r="DI24" i="1" l="1"/>
  <c r="DJ24" i="1" s="1"/>
  <c r="DK24" i="1" s="1"/>
  <c r="AZ26" i="1"/>
  <c r="BG25" i="1"/>
  <c r="BH25" i="1" l="1"/>
  <c r="BA26" i="1"/>
  <c r="AX26" i="1"/>
  <c r="DL24" i="1"/>
  <c r="DQ24" i="1"/>
  <c r="DR24" i="1" s="1"/>
  <c r="AW26" i="1"/>
  <c r="AY27" i="1" l="1"/>
  <c r="DI25" i="1"/>
  <c r="DJ25" i="1" s="1"/>
  <c r="DK25" i="1" s="1"/>
  <c r="AZ27" i="1"/>
  <c r="DT24" i="1"/>
  <c r="DS24" i="1"/>
  <c r="DU24" i="1"/>
  <c r="BI25" i="1"/>
  <c r="BF25" i="1"/>
  <c r="BE25" i="1"/>
  <c r="BG26" i="1" l="1"/>
  <c r="BA27" i="1"/>
  <c r="BA2" i="1" s="1"/>
  <c r="BA3" i="1" s="1"/>
  <c r="O32" i="1" s="1"/>
  <c r="AZ2" i="1"/>
  <c r="O33" i="1" s="1"/>
  <c r="DL25" i="1"/>
  <c r="DL7" i="1" s="1"/>
  <c r="DL8" i="1" s="1"/>
  <c r="R32" i="1" s="1"/>
  <c r="DQ25" i="1"/>
  <c r="DR25" i="1" s="1"/>
  <c r="DK7" i="1"/>
  <c r="R33" i="1" s="1"/>
  <c r="BH26" i="1"/>
  <c r="BI26" i="1" s="1"/>
  <c r="AW27" i="1"/>
  <c r="AX27" i="1"/>
  <c r="AX28" i="1" s="1"/>
  <c r="AY28" i="1" l="1"/>
  <c r="DI26" i="1" s="1"/>
  <c r="DJ26" i="1" s="1"/>
  <c r="DT25" i="1"/>
  <c r="DT26" i="1" s="1"/>
  <c r="DS25" i="1"/>
  <c r="DS26" i="1" s="1"/>
  <c r="DU25" i="1"/>
  <c r="DU26" i="1" s="1"/>
  <c r="BE26" i="1"/>
  <c r="BF26" i="1"/>
  <c r="BG27" i="1" l="1"/>
  <c r="BH27" i="1"/>
  <c r="BF27" i="1"/>
  <c r="BF28" i="1" s="1"/>
  <c r="BI27" i="1" l="1"/>
  <c r="BI2" i="1" s="1"/>
  <c r="BI3" i="1" s="1"/>
  <c r="P32" i="1" s="1"/>
  <c r="BH2" i="1"/>
  <c r="P33" i="1" s="1"/>
  <c r="BE27" i="1"/>
  <c r="BG28" i="1" s="1"/>
</calcChain>
</file>

<file path=xl/sharedStrings.xml><?xml version="1.0" encoding="utf-8"?>
<sst xmlns="http://schemas.openxmlformats.org/spreadsheetml/2006/main" count="282" uniqueCount="119">
  <si>
    <t>c</t>
  </si>
  <si>
    <t xml:space="preserve">Constant </t>
  </si>
  <si>
    <t xml:space="preserve"> Dollars</t>
  </si>
  <si>
    <t>Trend</t>
  </si>
  <si>
    <t>Level MA3</t>
  </si>
  <si>
    <t>Trend MA3</t>
  </si>
  <si>
    <t>Forecast</t>
  </si>
  <si>
    <t>e</t>
  </si>
  <si>
    <t>e^2</t>
  </si>
  <si>
    <t>MA3</t>
  </si>
  <si>
    <t>Level MA2</t>
  </si>
  <si>
    <t>Trend MA2</t>
  </si>
  <si>
    <t>Year</t>
  </si>
  <si>
    <t>Level MA4</t>
  </si>
  <si>
    <t>Trend MA4</t>
  </si>
  <si>
    <t>α</t>
  </si>
  <si>
    <t>β</t>
  </si>
  <si>
    <t>CPIAUCNS</t>
  </si>
  <si>
    <t>Mean</t>
  </si>
  <si>
    <t>φ</t>
  </si>
  <si>
    <t>Deflators!</t>
  </si>
  <si>
    <t>Individual income</t>
  </si>
  <si>
    <t>CPI</t>
  </si>
  <si>
    <t>RMSE</t>
  </si>
  <si>
    <t>FY1993STC!</t>
  </si>
  <si>
    <t>WEST VIRGINIA</t>
  </si>
  <si>
    <t>FY1994STC!</t>
  </si>
  <si>
    <t>mean</t>
  </si>
  <si>
    <t>FY1995STC!</t>
  </si>
  <si>
    <t>Holt Forecast</t>
  </si>
  <si>
    <t>Average Forecast [Holt, Regression]</t>
  </si>
  <si>
    <t>Absolute Error</t>
  </si>
  <si>
    <t>Max Abs e</t>
  </si>
  <si>
    <t>Frequency</t>
  </si>
  <si>
    <t>FY1996STC!</t>
  </si>
  <si>
    <t>Population</t>
  </si>
  <si>
    <t>Per Capita Income</t>
  </si>
  <si>
    <t>2012 PCI</t>
  </si>
  <si>
    <t>Lag 1 LN 2012 PCI</t>
  </si>
  <si>
    <t>Lag 1 LN Population</t>
  </si>
  <si>
    <t>LN 2012 Personal Income Tax</t>
  </si>
  <si>
    <t>WVA Personal Income Tax</t>
  </si>
  <si>
    <t>W.VA PIT 2012 Dollars</t>
  </si>
  <si>
    <t>Adj Lag 1 LN 2012 PCI</t>
  </si>
  <si>
    <t>ADJ Lag 1 LN Pop</t>
  </si>
  <si>
    <t>Adj LN 2012 PIT</t>
  </si>
  <si>
    <t>Predicted</t>
  </si>
  <si>
    <t>Predicted'</t>
  </si>
  <si>
    <t>Antilog</t>
  </si>
  <si>
    <t>Forecast (reinflated)</t>
  </si>
  <si>
    <t>Regression Forecast</t>
  </si>
  <si>
    <t>Holt</t>
  </si>
  <si>
    <t>Regression</t>
  </si>
  <si>
    <t>Average</t>
  </si>
  <si>
    <t>FY1997STC!</t>
  </si>
  <si>
    <t>FY1998STC!</t>
  </si>
  <si>
    <t>FY1999STC!</t>
  </si>
  <si>
    <t>FY2000STC!</t>
  </si>
  <si>
    <t>FY2001STC!</t>
  </si>
  <si>
    <t>FY2002STC!</t>
  </si>
  <si>
    <t>FY2003STC!</t>
  </si>
  <si>
    <t>FY2004STC!</t>
  </si>
  <si>
    <t>West Virginia</t>
  </si>
  <si>
    <t>FY2005STC!</t>
  </si>
  <si>
    <t>FY2006STC!</t>
  </si>
  <si>
    <t>FY2007STC!</t>
  </si>
  <si>
    <t>FY2008STC!</t>
  </si>
  <si>
    <t>FY2009STC!</t>
  </si>
  <si>
    <t>FY2010STC!</t>
  </si>
  <si>
    <t>FY2011STC!</t>
  </si>
  <si>
    <t>FY2012STC!</t>
  </si>
  <si>
    <t>Individual Income Taxes</t>
  </si>
  <si>
    <t>Constant Dollars Compared to Nominal Dollars (CPI)</t>
  </si>
  <si>
    <t>St Louis FED for data</t>
  </si>
  <si>
    <t>http://research.stlouisfed.org/fred2/</t>
  </si>
  <si>
    <t>SUMMARY OUTPUT</t>
  </si>
  <si>
    <t>DW</t>
  </si>
  <si>
    <t>towards a confidence interval</t>
  </si>
  <si>
    <t>Trend &amp; Level Moving Averages</t>
  </si>
  <si>
    <t>Regression Statistics</t>
  </si>
  <si>
    <t>MA2</t>
  </si>
  <si>
    <t>MA4</t>
  </si>
  <si>
    <t>Holt-ES</t>
  </si>
  <si>
    <t>D-Trend</t>
  </si>
  <si>
    <t>Holt, Regression</t>
  </si>
  <si>
    <t>Multiple R</t>
  </si>
  <si>
    <t>R Square</t>
  </si>
  <si>
    <t>ME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</si>
  <si>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</si>
  <si>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</si>
  <si>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</si>
  <si>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</si>
  <si>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</si>
  <si>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</si>
  <si>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</si>
  <si>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</si>
  <si>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</si>
  <si>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Residual</t>
  </si>
  <si>
    <t>S^2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</si>
  <si>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</si>
  <si>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</si>
  <si>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</si>
  <si>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</si>
  <si>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</si>
  <si>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</si>
  <si>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</si>
  <si>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</si>
  <si>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</si>
  <si>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RESIDUAL OUTPUT</t>
  </si>
  <si>
    <t>Durbin Watson</t>
  </si>
  <si>
    <t>ρ</t>
  </si>
  <si>
    <t>SE</t>
  </si>
  <si>
    <t>Observation</t>
  </si>
  <si>
    <t>Predicted LN 2012 PIT</t>
  </si>
  <si>
    <t>Residuals</t>
  </si>
  <si>
    <t>Predicted Adj LN 2012 PIT</t>
  </si>
  <si>
    <t>test</t>
  </si>
  <si>
    <t>Exhibit 7.10 – Output of Excel Regression Statistics Using the Data in Exhibit 7.9</t>
  </si>
  <si>
    <t>*Data for Exhibit 7.10 regression can be found in Exhibit 7.9 (separate link) or "Ch. 7 Data" tab on this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</si>
</sst>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0.000"/>
    <numFmt numFmtId="167" formatCode="_(* #,##0.000_);_(* \(#,##0.000\);_(* &quot;-&quot;??_);_(@_)"/>
    <numFmt numFmtId="168" formatCode="0.0000"/>
    <numFmt numFmtId="169" formatCode="_(* #,##0.0000000_);_(* \(#,##0.0000000\);_(* &quot;-&quot;??_);_(@_)"/>
    <numFmt numFmtId="170" formatCode="_(* #,##0.00000_);_(* \(#,##0.00000\);_(* &quot;-&quot;??_);_(@_)"/>
    <numFmt numFmtId="171" formatCode="0.00000"/>
    <numFmt numFmtId="172" formatCode="0.0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2" borderId="0" xfId="0" applyFill="1"/>
    <xf numFmtId="0" fontId="0" fillId="3" borderId="1" xfId="0" applyFill="1" applyBorder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0" xfId="0" applyFont="1"/>
    <xf numFmtId="164" fontId="5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164" fontId="2" fillId="0" borderId="0" xfId="1" applyNumberFormat="1" applyFont="1"/>
    <xf numFmtId="165" fontId="3" fillId="0" borderId="0" xfId="0" applyNumberFormat="1" applyFont="1"/>
    <xf numFmtId="166" fontId="0" fillId="0" borderId="0" xfId="0" applyNumberFormat="1"/>
    <xf numFmtId="164" fontId="0" fillId="0" borderId="0" xfId="0" applyNumberFormat="1"/>
    <xf numFmtId="1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43" fontId="0" fillId="0" borderId="0" xfId="0" applyNumberFormat="1" applyAlignment="1">
      <alignment horizontal="right"/>
    </xf>
    <xf numFmtId="164" fontId="0" fillId="0" borderId="0" xfId="1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/>
    <xf numFmtId="3" fontId="6" fillId="0" borderId="0" xfId="0" applyNumberFormat="1" applyFont="1"/>
    <xf numFmtId="167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7" fontId="0" fillId="0" borderId="0" xfId="0" applyNumberFormat="1"/>
    <xf numFmtId="164" fontId="0" fillId="0" borderId="0" xfId="1" applyNumberFormat="1" applyFont="1" applyAlignment="1">
      <alignment horizontal="right"/>
    </xf>
    <xf numFmtId="43" fontId="0" fillId="0" borderId="0" xfId="0" applyNumberFormat="1"/>
    <xf numFmtId="0" fontId="0" fillId="0" borderId="7" xfId="0" applyBorder="1"/>
    <xf numFmtId="0" fontId="7" fillId="0" borderId="8" xfId="0" applyFont="1" applyBorder="1" applyAlignment="1">
      <alignment horizontal="center"/>
    </xf>
    <xf numFmtId="164" fontId="0" fillId="0" borderId="7" xfId="0" applyNumberFormat="1" applyBorder="1"/>
    <xf numFmtId="0" fontId="0" fillId="0" borderId="9" xfId="0" applyBorder="1"/>
    <xf numFmtId="3" fontId="6" fillId="0" borderId="0" xfId="0" applyNumberFormat="1" applyFont="1" applyAlignment="1">
      <alignment horizontal="right"/>
    </xf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2" xfId="0" applyFont="1" applyBorder="1" applyAlignment="1">
      <alignment horizontal="center"/>
    </xf>
    <xf numFmtId="167" fontId="0" fillId="0" borderId="10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0" fontId="0" fillId="0" borderId="11" xfId="0" applyBorder="1"/>
    <xf numFmtId="167" fontId="0" fillId="0" borderId="12" xfId="0" applyNumberFormat="1" applyBorder="1" applyAlignment="1">
      <alignment horizontal="right"/>
    </xf>
    <xf numFmtId="166" fontId="0" fillId="0" borderId="3" xfId="0" applyNumberFormat="1" applyBorder="1"/>
    <xf numFmtId="167" fontId="0" fillId="0" borderId="13" xfId="0" applyNumberFormat="1" applyBorder="1"/>
    <xf numFmtId="167" fontId="2" fillId="0" borderId="0" xfId="0" applyNumberFormat="1" applyFont="1"/>
    <xf numFmtId="168" fontId="0" fillId="0" borderId="0" xfId="0" applyNumberFormat="1"/>
    <xf numFmtId="169" fontId="0" fillId="0" borderId="0" xfId="0" applyNumberFormat="1" applyAlignment="1">
      <alignment horizontal="right"/>
    </xf>
    <xf numFmtId="169" fontId="0" fillId="0" borderId="14" xfId="0" applyNumberFormat="1" applyBorder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70" fontId="0" fillId="0" borderId="15" xfId="0" applyNumberFormat="1" applyBorder="1"/>
    <xf numFmtId="170" fontId="0" fillId="0" borderId="9" xfId="0" applyNumberFormat="1" applyBorder="1"/>
    <xf numFmtId="0" fontId="0" fillId="0" borderId="16" xfId="0" applyBorder="1"/>
    <xf numFmtId="0" fontId="0" fillId="0" borderId="3" xfId="0" applyBorder="1"/>
    <xf numFmtId="0" fontId="2" fillId="0" borderId="16" xfId="0" applyFont="1" applyBorder="1" applyAlignment="1">
      <alignment horizontal="center"/>
    </xf>
    <xf numFmtId="170" fontId="0" fillId="0" borderId="0" xfId="1" applyNumberFormat="1" applyFont="1"/>
    <xf numFmtId="0" fontId="2" fillId="0" borderId="2" xfId="0" applyFont="1" applyBorder="1"/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3" xfId="0" applyFont="1" applyBorder="1"/>
    <xf numFmtId="164" fontId="0" fillId="0" borderId="1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168" fontId="0" fillId="0" borderId="9" xfId="0" applyNumberFormat="1" applyBorder="1"/>
    <xf numFmtId="0" fontId="2" fillId="0" borderId="9" xfId="0" applyFont="1" applyBorder="1"/>
    <xf numFmtId="166" fontId="0" fillId="0" borderId="9" xfId="0" applyNumberFormat="1" applyBorder="1"/>
    <xf numFmtId="0" fontId="8" fillId="0" borderId="1" xfId="0" applyFont="1" applyBorder="1" applyAlignment="1">
      <alignment horizontal="center" vertical="center"/>
    </xf>
    <xf numFmtId="171" fontId="0" fillId="0" borderId="16" xfId="0" applyNumberFormat="1" applyBorder="1"/>
    <xf numFmtId="0" fontId="3" fillId="0" borderId="1" xfId="0" applyFont="1" applyBorder="1"/>
    <xf numFmtId="166" fontId="0" fillId="0" borderId="6" xfId="0" applyNumberFormat="1" applyBorder="1"/>
    <xf numFmtId="171" fontId="0" fillId="0" borderId="6" xfId="0" applyNumberFormat="1" applyBorder="1"/>
    <xf numFmtId="166" fontId="0" fillId="0" borderId="13" xfId="0" applyNumberFormat="1" applyBorder="1"/>
    <xf numFmtId="166" fontId="0" fillId="0" borderId="14" xfId="0" applyNumberFormat="1" applyBorder="1"/>
    <xf numFmtId="168" fontId="0" fillId="0" borderId="7" xfId="0" applyNumberFormat="1" applyBorder="1"/>
    <xf numFmtId="166" fontId="0" fillId="0" borderId="15" xfId="0" applyNumberFormat="1" applyBorder="1"/>
    <xf numFmtId="166" fontId="0" fillId="0" borderId="16" xfId="0" applyNumberFormat="1" applyBorder="1"/>
    <xf numFmtId="168" fontId="0" fillId="0" borderId="3" xfId="0" applyNumberFormat="1" applyBorder="1"/>
    <xf numFmtId="172" fontId="0" fillId="0" borderId="0" xfId="0" applyNumberFormat="1"/>
    <xf numFmtId="0" fontId="9" fillId="0" borderId="0" xfId="0" applyFont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0" fillId="5" borderId="6" xfId="0" applyFill="1" applyBorder="1"/>
    <xf numFmtId="0" fontId="7" fillId="0" borderId="8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'Ch. 7 Data'!$E$23</c:f>
          <c:strCache>
            <c:ptCount val="1"/>
            <c:pt idx="0">
              <c:v>West Virginia</c:v>
            </c:pt>
          </c:strCache>
        </c:strRef>
      </c:tx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'Ch. 7 Data'!$N$1</c:f>
              <c:strCache>
                <c:ptCount val="1"/>
                <c:pt idx="0">
                  <c:v>Individual income Revenue 2012 Dollars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'Ch. 7 Data'!$M$4:$M$24</c:f>
              <c:numCache>
                <c:formatCode>0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xVal>
          <c:yVal>
            <c:numRef>
              <c:f>'Ch. 7 Data'!$N$4:$N$24</c:f>
              <c:numCache>
                <c:formatCode>_(* #,##0_);_(* \(#,##0\);_(* "-"??_);_(@_)</c:formatCode>
                <c:ptCount val="21"/>
                <c:pt idx="0">
                  <c:v>987</c:v>
                </c:pt>
                <c:pt idx="1">
                  <c:v>1037</c:v>
                </c:pt>
                <c:pt idx="2">
                  <c:v>1070</c:v>
                </c:pt>
                <c:pt idx="3">
                  <c:v>1099</c:v>
                </c:pt>
                <c:pt idx="4">
                  <c:v>1125</c:v>
                </c:pt>
                <c:pt idx="5">
                  <c:v>1220</c:v>
                </c:pt>
                <c:pt idx="6">
                  <c:v>1268</c:v>
                </c:pt>
                <c:pt idx="7">
                  <c:v>1288</c:v>
                </c:pt>
                <c:pt idx="8">
                  <c:v>1324</c:v>
                </c:pt>
                <c:pt idx="9">
                  <c:v>1321</c:v>
                </c:pt>
                <c:pt idx="10">
                  <c:v>1317</c:v>
                </c:pt>
                <c:pt idx="11">
                  <c:v>1298</c:v>
                </c:pt>
                <c:pt idx="12">
                  <c:v>1378</c:v>
                </c:pt>
                <c:pt idx="13">
                  <c:v>1478</c:v>
                </c:pt>
                <c:pt idx="14">
                  <c:v>1507</c:v>
                </c:pt>
                <c:pt idx="15">
                  <c:v>1620</c:v>
                </c:pt>
                <c:pt idx="16">
                  <c:v>1667</c:v>
                </c:pt>
                <c:pt idx="17">
                  <c:v>1602</c:v>
                </c:pt>
                <c:pt idx="18">
                  <c:v>1700</c:v>
                </c:pt>
                <c:pt idx="19">
                  <c:v>1756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D9-4ABF-B211-6C350ACE2FBF}"/>
            </c:ext>
          </c:extLst>
        </c:ser>
        <c:ser>
          <c:idx val="2"/>
          <c:order val="1"/>
          <c:tx>
            <c:strRef>
              <c:f>'Ch. 7 Data'!$R$1</c:f>
              <c:strCache>
                <c:ptCount val="1"/>
                <c:pt idx="0">
                  <c:v>Forecast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'Ch. 7 Data'!$M$4:$M$24</c:f>
              <c:numCache>
                <c:formatCode>0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xVal>
          <c:yVal>
            <c:numRef>
              <c:f>'Ch. 7 Data'!$R$4:$R$24</c:f>
              <c:numCache>
                <c:formatCode>General</c:formatCode>
                <c:ptCount val="21"/>
                <c:pt idx="4" formatCode="_(* #,##0_);_(* \(#,##0\);_(* &quot;-&quot;??_);_(@_)">
                  <c:v>1143.3333333333335</c:v>
                </c:pt>
                <c:pt idx="5" formatCode="_(* #,##0_);_(* \(#,##0\);_(* &quot;-&quot;??_);_(@_)">
                  <c:v>1156.6666666666667</c:v>
                </c:pt>
                <c:pt idx="6" formatCode="_(* #,##0_);_(* \(#,##0\);_(* &quot;-&quot;??_);_(@_)">
                  <c:v>1248</c:v>
                </c:pt>
                <c:pt idx="7" formatCode="_(* #,##0_);_(* \(#,##0\);_(* &quot;-&quot;??_);_(@_)">
                  <c:v>1317</c:v>
                </c:pt>
                <c:pt idx="8" formatCode="_(* #,##0_);_(* \(#,##0\);_(* &quot;-&quot;??_);_(@_)">
                  <c:v>1367.3333333333335</c:v>
                </c:pt>
                <c:pt idx="9" formatCode="_(* #,##0_);_(* \(#,##0\);_(* &quot;-&quot;??_);_(@_)">
                  <c:v>1362.6666666666665</c:v>
                </c:pt>
                <c:pt idx="10" formatCode="_(* #,##0_);_(* \(#,##0\);_(* &quot;-&quot;??_);_(@_)">
                  <c:v>1346.3333333333333</c:v>
                </c:pt>
                <c:pt idx="11" formatCode="_(* #,##0_);_(* \(#,##0\);_(* &quot;-&quot;??_);_(@_)">
                  <c:v>1340</c:v>
                </c:pt>
                <c:pt idx="12" formatCode="_(* #,##0_);_(* \(#,##0\);_(* &quot;-&quot;??_);_(@_)">
                  <c:v>1294.6666666666667</c:v>
                </c:pt>
                <c:pt idx="13" formatCode="_(* #,##0_);_(* \(#,##0\);_(* &quot;-&quot;??_);_(@_)">
                  <c:v>1369</c:v>
                </c:pt>
                <c:pt idx="14" formatCode="_(* #,##0_);_(* \(#,##0\);_(* &quot;-&quot;??_);_(@_)">
                  <c:v>1492</c:v>
                </c:pt>
                <c:pt idx="15" formatCode="_(* #,##0_);_(* \(#,##0\);_(* &quot;-&quot;??_);_(@_)">
                  <c:v>1593.6666666666665</c:v>
                </c:pt>
                <c:pt idx="16" formatCode="_(* #,##0_);_(* \(#,##0\);_(* &quot;-&quot;??_);_(@_)">
                  <c:v>1696.3333333333333</c:v>
                </c:pt>
                <c:pt idx="17" formatCode="_(* #,##0_);_(* \(#,##0\);_(* &quot;-&quot;??_);_(@_)">
                  <c:v>1724</c:v>
                </c:pt>
                <c:pt idx="18" formatCode="_(* #,##0_);_(* \(#,##0\);_(* &quot;-&quot;??_);_(@_)">
                  <c:v>1693</c:v>
                </c:pt>
                <c:pt idx="19" formatCode="_(* #,##0_);_(* \(#,##0\);_(* &quot;-&quot;??_);_(@_)">
                  <c:v>1709.6666666666665</c:v>
                </c:pt>
                <c:pt idx="20" formatCode="_(* #,##0_);_(* \(#,##0\);_(* &quot;-&quot;??_);_(@_)">
                  <c:v>1745.3333333333333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D9-4ABF-B211-6C350ACE2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545536"/>
        <c:axId val="372546096"/>
      </c:scatterChart>
      <c:valAx>
        <c:axId val="372545536"/>
        <c:scaling>
          <c:orientation val="minMax"/>
          <c:max val="2013"/>
          <c:min val="1993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2546096"/>
        <c:crosses val="autoZero"/>
        <c:crossBetween val="midCat"/>
        <c:majorUnit val="4"/>
      </c:valAx>
      <c:valAx>
        <c:axId val="372546096"/>
        <c:scaling>
          <c:orientation val="minMax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54553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'Ch. 7 Data'!$E$23</c:f>
          <c:strCache>
            <c:ptCount val="1"/>
            <c:pt idx="0">
              <c:v>West Virginia</c:v>
            </c:pt>
          </c:strCache>
        </c:strRef>
      </c:tx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'Ch. 7 Data'!$AV$1</c:f>
              <c:strCache>
                <c:ptCount val="1"/>
                <c:pt idx="0">
                  <c:v>Individual income Revenue 2012 Dollars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'Ch. 7 Data'!$AU$8:$AU$28</c:f>
              <c:numCache>
                <c:formatCode>0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xVal>
          <c:yVal>
            <c:numRef>
              <c:f>'Ch. 7 Data'!$AV$8:$AV$28</c:f>
              <c:numCache>
                <c:formatCode>_(* #,##0_);_(* \(#,##0\);_(* "-"??_);_(@_)</c:formatCode>
                <c:ptCount val="21"/>
                <c:pt idx="0">
                  <c:v>987</c:v>
                </c:pt>
                <c:pt idx="1">
                  <c:v>1037</c:v>
                </c:pt>
                <c:pt idx="2">
                  <c:v>1070</c:v>
                </c:pt>
                <c:pt idx="3">
                  <c:v>1099</c:v>
                </c:pt>
                <c:pt idx="4">
                  <c:v>1125</c:v>
                </c:pt>
                <c:pt idx="5">
                  <c:v>1220</c:v>
                </c:pt>
                <c:pt idx="6">
                  <c:v>1268</c:v>
                </c:pt>
                <c:pt idx="7">
                  <c:v>1288</c:v>
                </c:pt>
                <c:pt idx="8">
                  <c:v>1324</c:v>
                </c:pt>
                <c:pt idx="9">
                  <c:v>1321</c:v>
                </c:pt>
                <c:pt idx="10">
                  <c:v>1317</c:v>
                </c:pt>
                <c:pt idx="11">
                  <c:v>1298</c:v>
                </c:pt>
                <c:pt idx="12">
                  <c:v>1378</c:v>
                </c:pt>
                <c:pt idx="13">
                  <c:v>1478</c:v>
                </c:pt>
                <c:pt idx="14">
                  <c:v>1507</c:v>
                </c:pt>
                <c:pt idx="15">
                  <c:v>1620</c:v>
                </c:pt>
                <c:pt idx="16">
                  <c:v>1667</c:v>
                </c:pt>
                <c:pt idx="17">
                  <c:v>1602</c:v>
                </c:pt>
                <c:pt idx="18">
                  <c:v>1700</c:v>
                </c:pt>
                <c:pt idx="19">
                  <c:v>1756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CA-47E1-B721-7FBC9357FA4E}"/>
            </c:ext>
          </c:extLst>
        </c:ser>
        <c:ser>
          <c:idx val="2"/>
          <c:order val="1"/>
          <c:tx>
            <c:strRef>
              <c:f>'Ch. 7 Data'!$AY$1</c:f>
              <c:strCache>
                <c:ptCount val="1"/>
                <c:pt idx="0">
                  <c:v>Forecast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'Ch. 7 Data'!$AU$8:$AU$28</c:f>
              <c:numCache>
                <c:formatCode>0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xVal>
          <c:yVal>
            <c:numRef>
              <c:f>'Ch. 7 Data'!$AY$8:$AY$28</c:f>
              <c:numCache>
                <c:formatCode>_(* #,##0.00_);_(* \(#,##0.00\);_(* "-"??_);_(@_)</c:formatCode>
                <c:ptCount val="21"/>
                <c:pt idx="0">
                  <c:v>992.44444444444434</c:v>
                </c:pt>
                <c:pt idx="1">
                  <c:v>1027.7590555555555</c:v>
                </c:pt>
                <c:pt idx="2">
                  <c:v>1072.6792355833334</c:v>
                </c:pt>
                <c:pt idx="3">
                  <c:v>1109.833883561764</c:v>
                </c:pt>
                <c:pt idx="4">
                  <c:v>1141.6175901110632</c:v>
                </c:pt>
                <c:pt idx="5">
                  <c:v>1169.533873067596</c:v>
                </c:pt>
                <c:pt idx="6">
                  <c:v>1241.3826019274431</c:v>
                </c:pt>
                <c:pt idx="7">
                  <c:v>1297.9026701158614</c:v>
                </c:pt>
                <c:pt idx="8">
                  <c:v>1330.6203266260545</c:v>
                </c:pt>
                <c:pt idx="9">
                  <c:v>1365.4284742815528</c:v>
                </c:pt>
                <c:pt idx="10">
                  <c:v>1375.372540878147</c:v>
                </c:pt>
                <c:pt idx="11">
                  <c:v>1375.8735426712472</c:v>
                </c:pt>
                <c:pt idx="12">
                  <c:v>1363.1927152714688</c:v>
                </c:pt>
                <c:pt idx="13">
                  <c:v>1410.850673032282</c:v>
                </c:pt>
                <c:pt idx="14">
                  <c:v>1492.9674288738568</c:v>
                </c:pt>
                <c:pt idx="15">
                  <c:v>1540.6495051307279</c:v>
                </c:pt>
                <c:pt idx="16">
                  <c:v>1631.3040100372832</c:v>
                </c:pt>
                <c:pt idx="17">
                  <c:v>1693.8151106893349</c:v>
                </c:pt>
                <c:pt idx="18">
                  <c:v>1672.8471976980725</c:v>
                </c:pt>
                <c:pt idx="19">
                  <c:v>1729.3849213660933</c:v>
                </c:pt>
                <c:pt idx="20">
                  <c:v>1785.746122661021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CA-47E1-B721-7FBC9357F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550576"/>
        <c:axId val="372551136"/>
      </c:scatterChart>
      <c:valAx>
        <c:axId val="372550576"/>
        <c:scaling>
          <c:orientation val="minMax"/>
          <c:max val="2013"/>
          <c:min val="1993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2551136"/>
        <c:crosses val="autoZero"/>
        <c:crossBetween val="midCat"/>
        <c:majorUnit val="4"/>
      </c:valAx>
      <c:valAx>
        <c:axId val="372551136"/>
        <c:scaling>
          <c:orientation val="minMax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55057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'Ch. 7 Data'!$E$23</c:f>
          <c:strCache>
            <c:ptCount val="1"/>
            <c:pt idx="0">
              <c:v>West Virginia</c:v>
            </c:pt>
          </c:strCache>
        </c:strRef>
      </c:tx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'Ch. 7 Data'!$BD$1</c:f>
              <c:strCache>
                <c:ptCount val="1"/>
                <c:pt idx="0">
                  <c:v>Individual income Revenue 2012 Dollars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'Ch. 7 Data'!$BC$8:$BC$28</c:f>
              <c:numCache>
                <c:formatCode>0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xVal>
          <c:yVal>
            <c:numRef>
              <c:f>'Ch. 7 Data'!$BD$8:$BD$28</c:f>
              <c:numCache>
                <c:formatCode>_(* #,##0_);_(* \(#,##0\);_(* "-"??_);_(@_)</c:formatCode>
                <c:ptCount val="21"/>
                <c:pt idx="0">
                  <c:v>987</c:v>
                </c:pt>
                <c:pt idx="1">
                  <c:v>1037</c:v>
                </c:pt>
                <c:pt idx="2">
                  <c:v>1070</c:v>
                </c:pt>
                <c:pt idx="3">
                  <c:v>1099</c:v>
                </c:pt>
                <c:pt idx="4">
                  <c:v>1125</c:v>
                </c:pt>
                <c:pt idx="5">
                  <c:v>1220</c:v>
                </c:pt>
                <c:pt idx="6">
                  <c:v>1268</c:v>
                </c:pt>
                <c:pt idx="7">
                  <c:v>1288</c:v>
                </c:pt>
                <c:pt idx="8">
                  <c:v>1324</c:v>
                </c:pt>
                <c:pt idx="9">
                  <c:v>1321</c:v>
                </c:pt>
                <c:pt idx="10">
                  <c:v>1317</c:v>
                </c:pt>
                <c:pt idx="11">
                  <c:v>1298</c:v>
                </c:pt>
                <c:pt idx="12">
                  <c:v>1378</c:v>
                </c:pt>
                <c:pt idx="13">
                  <c:v>1478</c:v>
                </c:pt>
                <c:pt idx="14">
                  <c:v>1507</c:v>
                </c:pt>
                <c:pt idx="15">
                  <c:v>1620</c:v>
                </c:pt>
                <c:pt idx="16">
                  <c:v>1667</c:v>
                </c:pt>
                <c:pt idx="17">
                  <c:v>1602</c:v>
                </c:pt>
                <c:pt idx="18">
                  <c:v>1700</c:v>
                </c:pt>
                <c:pt idx="19">
                  <c:v>1756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13-4088-A379-BDEA5AAC67DD}"/>
            </c:ext>
          </c:extLst>
        </c:ser>
        <c:ser>
          <c:idx val="2"/>
          <c:order val="1"/>
          <c:tx>
            <c:strRef>
              <c:f>'Ch. 7 Data'!$BG$1</c:f>
              <c:strCache>
                <c:ptCount val="1"/>
                <c:pt idx="0">
                  <c:v>Forecast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'Ch. 7 Data'!$BC$8:$BC$28</c:f>
              <c:numCache>
                <c:formatCode>0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xVal>
          <c:yVal>
            <c:numRef>
              <c:f>'Ch. 7 Data'!$BG$8:$BG$28</c:f>
              <c:numCache>
                <c:formatCode>_(* #,##0.00_);_(* \(#,##0.00\);_(* "-"??_);_(@_)</c:formatCode>
                <c:ptCount val="21"/>
                <c:pt idx="0">
                  <c:v>992.44444444444434</c:v>
                </c:pt>
                <c:pt idx="1">
                  <c:v>1027.7501111111112</c:v>
                </c:pt>
                <c:pt idx="2">
                  <c:v>1072.5774997777778</c:v>
                </c:pt>
                <c:pt idx="3">
                  <c:v>1109.6756933504444</c:v>
                </c:pt>
                <c:pt idx="4">
                  <c:v>1141.4606118390991</c:v>
                </c:pt>
                <c:pt idx="5">
                  <c:v>1169.4301485791227</c:v>
                </c:pt>
                <c:pt idx="6">
                  <c:v>1240.9813873551163</c:v>
                </c:pt>
                <c:pt idx="7">
                  <c:v>1297.2126587040068</c:v>
                </c:pt>
                <c:pt idx="8">
                  <c:v>1329.8457218442845</c:v>
                </c:pt>
                <c:pt idx="9">
                  <c:v>1364.6228269302396</c:v>
                </c:pt>
                <c:pt idx="10">
                  <c:v>1374.762614059109</c:v>
                </c:pt>
                <c:pt idx="11">
                  <c:v>1375.6152823155205</c:v>
                </c:pt>
                <c:pt idx="12">
                  <c:v>1363.4477025555541</c:v>
                </c:pt>
                <c:pt idx="13">
                  <c:v>1411.1653195832653</c:v>
                </c:pt>
                <c:pt idx="14">
                  <c:v>1492.8950615996921</c:v>
                </c:pt>
                <c:pt idx="15">
                  <c:v>1540.3262890440963</c:v>
                </c:pt>
                <c:pt idx="16">
                  <c:v>1630.4186293431096</c:v>
                </c:pt>
                <c:pt idx="17">
                  <c:v>1692.4992253902433</c:v>
                </c:pt>
                <c:pt idx="18">
                  <c:v>1671.8486320762297</c:v>
                </c:pt>
                <c:pt idx="19">
                  <c:v>1728.3109018810592</c:v>
                </c:pt>
                <c:pt idx="20">
                  <c:v>1784.462221530214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13-4088-A379-BDEA5AAC6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759584"/>
        <c:axId val="359760144"/>
      </c:scatterChart>
      <c:valAx>
        <c:axId val="359759584"/>
        <c:scaling>
          <c:orientation val="minMax"/>
          <c:max val="2013"/>
          <c:min val="1993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9760144"/>
        <c:crosses val="autoZero"/>
        <c:crossBetween val="midCat"/>
        <c:majorUnit val="4"/>
      </c:valAx>
      <c:valAx>
        <c:axId val="359760144"/>
        <c:scaling>
          <c:orientation val="minMax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75958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LN 2012 PCI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'Ch. 7 Data'!$BR$8:$BR$26</c:f>
              <c:numCache>
                <c:formatCode>_(* #,##0.000_);_(* \(#,##0.000\);_(* "-"??_);_(@_)</c:formatCode>
                <c:ptCount val="19"/>
                <c:pt idx="0">
                  <c:v>10.177330559711546</c:v>
                </c:pt>
                <c:pt idx="1">
                  <c:v>10.194292961887683</c:v>
                </c:pt>
                <c:pt idx="2">
                  <c:v>10.197867334106302</c:v>
                </c:pt>
                <c:pt idx="3">
                  <c:v>10.210156238823808</c:v>
                </c:pt>
                <c:pt idx="4">
                  <c:v>10.229542015303279</c:v>
                </c:pt>
                <c:pt idx="5">
                  <c:v>10.269370184379078</c:v>
                </c:pt>
                <c:pt idx="6">
                  <c:v>10.275470734230389</c:v>
                </c:pt>
                <c:pt idx="7">
                  <c:v>10.294376564042432</c:v>
                </c:pt>
                <c:pt idx="8">
                  <c:v>10.327826361607347</c:v>
                </c:pt>
                <c:pt idx="9">
                  <c:v>10.342452327476616</c:v>
                </c:pt>
                <c:pt idx="10">
                  <c:v>10.338929957688235</c:v>
                </c:pt>
                <c:pt idx="11">
                  <c:v>10.345404529040456</c:v>
                </c:pt>
                <c:pt idx="12">
                  <c:v>10.344734985081946</c:v>
                </c:pt>
                <c:pt idx="13">
                  <c:v>10.383436927058945</c:v>
                </c:pt>
                <c:pt idx="14">
                  <c:v>10.394020678444765</c:v>
                </c:pt>
                <c:pt idx="15">
                  <c:v>10.415463351840009</c:v>
                </c:pt>
                <c:pt idx="16">
                  <c:v>10.408443734245955</c:v>
                </c:pt>
                <c:pt idx="17">
                  <c:v>10.418881421060807</c:v>
                </c:pt>
                <c:pt idx="18">
                  <c:v>10.436945609607813</c:v>
                </c:pt>
              </c:numCache>
            </c:numRef>
          </c:xVal>
          <c:yVal>
            <c:numRef>
              <c:f>'Ch. 7 Data'!$BR$53:$BR$71</c:f>
              <c:numCache>
                <c:formatCode>0.000</c:formatCode>
                <c:ptCount val="19"/>
                <c:pt idx="0">
                  <c:v>-1.8339555055627343E-2</c:v>
                </c:pt>
                <c:pt idx="1">
                  <c:v>-2.245717357870447E-2</c:v>
                </c:pt>
                <c:pt idx="2">
                  <c:v>-6.4037053014054379E-3</c:v>
                </c:pt>
                <c:pt idx="3">
                  <c:v>-4.5606555021464601E-3</c:v>
                </c:pt>
                <c:pt idx="4">
                  <c:v>4.7028475345442189E-2</c:v>
                </c:pt>
                <c:pt idx="5">
                  <c:v>1.8427626188522339E-2</c:v>
                </c:pt>
                <c:pt idx="6">
                  <c:v>2.8307598680401114E-2</c:v>
                </c:pt>
                <c:pt idx="7">
                  <c:v>2.8546035239155998E-2</c:v>
                </c:pt>
                <c:pt idx="8">
                  <c:v>-2.227528417072655E-2</c:v>
                </c:pt>
                <c:pt idx="9">
                  <c:v>-5.2700004490276342E-2</c:v>
                </c:pt>
                <c:pt idx="10">
                  <c:v>-6.4739481289466383E-2</c:v>
                </c:pt>
                <c:pt idx="11">
                  <c:v>-1.837326920673199E-2</c:v>
                </c:pt>
                <c:pt idx="12">
                  <c:v>5.2155708225404496E-2</c:v>
                </c:pt>
                <c:pt idx="13">
                  <c:v>-3.6903604282247926E-3</c:v>
                </c:pt>
                <c:pt idx="14">
                  <c:v>4.4098078946577246E-2</c:v>
                </c:pt>
                <c:pt idx="15">
                  <c:v>2.8391515763212638E-2</c:v>
                </c:pt>
                <c:pt idx="16">
                  <c:v>-5.1737645286120681E-3</c:v>
                </c:pt>
                <c:pt idx="17">
                  <c:v>-1.3074480782123032E-2</c:v>
                </c:pt>
                <c:pt idx="18">
                  <c:v>-1.516730405462674E-2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DF-4B92-9D26-F93778D1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763504"/>
        <c:axId val="359764064"/>
      </c:scatterChart>
      <c:valAx>
        <c:axId val="35976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LN 2012 PCI</a:t>
                </a:r>
              </a:p>
            </c:rich>
          </c:tx>
          <c:overlay val="0"/>
        </c:title>
        <c:numFmt formatCode="_(* #,##0.000_);_(* \(#,##0.0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9764064"/>
        <c:crosses val="autoZero"/>
        <c:crossBetween val="midCat"/>
      </c:valAx>
      <c:valAx>
        <c:axId val="359764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597635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LN Population  Residual Plot</a:t>
            </a:r>
          </a:p>
        </c:rich>
      </c:tx>
      <c:layout>
        <c:manualLayout>
          <c:xMode val="edge"/>
          <c:yMode val="edge"/>
          <c:x val="0.18998558091630952"/>
          <c:y val="3.142521520474276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'Ch. 7 Data'!$BS$8:$BS$26</c:f>
              <c:numCache>
                <c:formatCode>_(* #,##0.000_);_(* \(#,##0.000\);_(* "-"??_);_(@_)</c:formatCode>
                <c:ptCount val="19"/>
                <c:pt idx="0">
                  <c:v>14.412993946206358</c:v>
                </c:pt>
                <c:pt idx="1">
                  <c:v>14.414578350984256</c:v>
                </c:pt>
                <c:pt idx="2">
                  <c:v>14.416377962404924</c:v>
                </c:pt>
                <c:pt idx="3">
                  <c:v>14.415888727214549</c:v>
                </c:pt>
                <c:pt idx="4">
                  <c:v>14.413859577615845</c:v>
                </c:pt>
                <c:pt idx="5">
                  <c:v>14.411931506591158</c:v>
                </c:pt>
                <c:pt idx="6">
                  <c:v>14.409830832279873</c:v>
                </c:pt>
                <c:pt idx="7">
                  <c:v>14.407157540022864</c:v>
                </c:pt>
                <c:pt idx="8">
                  <c:v>14.402509134628643</c:v>
                </c:pt>
                <c:pt idx="9">
                  <c:v>14.402969947095297</c:v>
                </c:pt>
                <c:pt idx="10">
                  <c:v>14.404539783900921</c:v>
                </c:pt>
                <c:pt idx="11">
                  <c:v>14.40512998677255</c:v>
                </c:pt>
                <c:pt idx="12">
                  <c:v>14.405472632723393</c:v>
                </c:pt>
                <c:pt idx="13">
                  <c:v>14.40730971758726</c:v>
                </c:pt>
                <c:pt idx="14">
                  <c:v>14.409499062750108</c:v>
                </c:pt>
                <c:pt idx="15">
                  <c:v>14.411526050781111</c:v>
                </c:pt>
                <c:pt idx="16">
                  <c:v>14.414224524073347</c:v>
                </c:pt>
                <c:pt idx="17">
                  <c:v>14.433054495163342</c:v>
                </c:pt>
                <c:pt idx="18">
                  <c:v>14.433591461188882</c:v>
                </c:pt>
              </c:numCache>
            </c:numRef>
          </c:xVal>
          <c:yVal>
            <c:numRef>
              <c:f>'Ch. 7 Data'!$BR$53:$BR$71</c:f>
              <c:numCache>
                <c:formatCode>0.000</c:formatCode>
                <c:ptCount val="19"/>
                <c:pt idx="0">
                  <c:v>-1.8339555055627343E-2</c:v>
                </c:pt>
                <c:pt idx="1">
                  <c:v>-2.245717357870447E-2</c:v>
                </c:pt>
                <c:pt idx="2">
                  <c:v>-6.4037053014054379E-3</c:v>
                </c:pt>
                <c:pt idx="3">
                  <c:v>-4.5606555021464601E-3</c:v>
                </c:pt>
                <c:pt idx="4">
                  <c:v>4.7028475345442189E-2</c:v>
                </c:pt>
                <c:pt idx="5">
                  <c:v>1.8427626188522339E-2</c:v>
                </c:pt>
                <c:pt idx="6">
                  <c:v>2.8307598680401114E-2</c:v>
                </c:pt>
                <c:pt idx="7">
                  <c:v>2.8546035239155998E-2</c:v>
                </c:pt>
                <c:pt idx="8">
                  <c:v>-2.227528417072655E-2</c:v>
                </c:pt>
                <c:pt idx="9">
                  <c:v>-5.2700004490276342E-2</c:v>
                </c:pt>
                <c:pt idx="10">
                  <c:v>-6.4739481289466383E-2</c:v>
                </c:pt>
                <c:pt idx="11">
                  <c:v>-1.837326920673199E-2</c:v>
                </c:pt>
                <c:pt idx="12">
                  <c:v>5.2155708225404496E-2</c:v>
                </c:pt>
                <c:pt idx="13">
                  <c:v>-3.6903604282247926E-3</c:v>
                </c:pt>
                <c:pt idx="14">
                  <c:v>4.4098078946577246E-2</c:v>
                </c:pt>
                <c:pt idx="15">
                  <c:v>2.8391515763212638E-2</c:v>
                </c:pt>
                <c:pt idx="16">
                  <c:v>-5.1737645286120681E-3</c:v>
                </c:pt>
                <c:pt idx="17">
                  <c:v>-1.3074480782123032E-2</c:v>
                </c:pt>
                <c:pt idx="18">
                  <c:v>-1.516730405462674E-2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44-4E73-913C-350E2900D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766864"/>
        <c:axId val="373595472"/>
      </c:scatterChart>
      <c:valAx>
        <c:axId val="35976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LN Population</a:t>
                </a:r>
              </a:p>
            </c:rich>
          </c:tx>
          <c:overlay val="0"/>
        </c:title>
        <c:numFmt formatCode="_(* #,##0.000_);_(* \(#,##0.0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3595472"/>
        <c:crosses val="autoZero"/>
        <c:crossBetween val="midCat"/>
      </c:valAx>
      <c:valAx>
        <c:axId val="3735954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59766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Adj LN 2012 PCI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'Ch. 7 Data'!$CL$8:$CL$25</c:f>
              <c:numCache>
                <c:formatCode>_(* #,##0.000_);_(* \(#,##0.000\);_(* "-"??_);_(@_)</c:formatCode>
                <c:ptCount val="18"/>
                <c:pt idx="0">
                  <c:v>5.988022083516098</c:v>
                </c:pt>
                <c:pt idx="1">
                  <c:v>5.9845859279856084</c:v>
                </c:pt>
                <c:pt idx="2">
                  <c:v>5.9953975516338369</c:v>
                </c:pt>
                <c:pt idx="3">
                  <c:v>6.0097043477522929</c:v>
                </c:pt>
                <c:pt idx="4">
                  <c:v>6.041520413204081</c:v>
                </c:pt>
                <c:pt idx="5">
                  <c:v>6.031160058426277</c:v>
                </c:pt>
                <c:pt idx="6">
                  <c:v>6.0475445428785459</c:v>
                </c:pt>
                <c:pt idx="7">
                  <c:v>6.0731805978413824</c:v>
                </c:pt>
                <c:pt idx="8">
                  <c:v>6.0739818275915658</c:v>
                </c:pt>
                <c:pt idx="9">
                  <c:v>6.0644145746245339</c:v>
                </c:pt>
                <c:pt idx="10">
                  <c:v>6.0723449345430005</c:v>
                </c:pt>
                <c:pt idx="11">
                  <c:v>6.0689994628675894</c:v>
                </c:pt>
                <c:pt idx="12">
                  <c:v>6.107978126057283</c:v>
                </c:pt>
                <c:pt idx="13">
                  <c:v>6.1025664402782027</c:v>
                </c:pt>
                <c:pt idx="14">
                  <c:v>6.119634869860012</c:v>
                </c:pt>
                <c:pt idx="15">
                  <c:v>6.1037530371568325</c:v>
                </c:pt>
                <c:pt idx="16">
                  <c:v>6.1170919182376986</c:v>
                </c:pt>
                <c:pt idx="17">
                  <c:v>6.1308422311736805</c:v>
                </c:pt>
              </c:numCache>
            </c:numRef>
          </c:xVal>
          <c:yVal>
            <c:numRef>
              <c:f>'Ch. 7 Data'!$CD$53:$CD$70</c:f>
              <c:numCache>
                <c:formatCode>0.000</c:formatCode>
                <c:ptCount val="18"/>
                <c:pt idx="0">
                  <c:v>-2.3039098410826853E-2</c:v>
                </c:pt>
                <c:pt idx="1">
                  <c:v>-5.6738037177392897E-3</c:v>
                </c:pt>
                <c:pt idx="2">
                  <c:v>-9.3409849815042634E-3</c:v>
                </c:pt>
                <c:pt idx="3">
                  <c:v>4.2983067828332722E-2</c:v>
                </c:pt>
                <c:pt idx="4">
                  <c:v>-3.739680961341918E-3</c:v>
                </c:pt>
                <c:pt idx="5">
                  <c:v>1.6990703548550812E-2</c:v>
                </c:pt>
                <c:pt idx="6">
                  <c:v>1.4847353481036052E-2</c:v>
                </c:pt>
                <c:pt idx="7">
                  <c:v>-3.3379028131973243E-2</c:v>
                </c:pt>
                <c:pt idx="8">
                  <c:v>-4.2822964798826746E-2</c:v>
                </c:pt>
                <c:pt idx="9">
                  <c:v>-4.3295620831120374E-2</c:v>
                </c:pt>
                <c:pt idx="10">
                  <c:v>8.8348467924994623E-3</c:v>
                </c:pt>
                <c:pt idx="11">
                  <c:v>5.9864984846205616E-2</c:v>
                </c:pt>
                <c:pt idx="12">
                  <c:v>-2.1341413329301062E-2</c:v>
                </c:pt>
                <c:pt idx="13">
                  <c:v>4.893002973522087E-2</c:v>
                </c:pt>
                <c:pt idx="14">
                  <c:v>1.5115425794677506E-2</c:v>
                </c:pt>
                <c:pt idx="15">
                  <c:v>-1.3612545757245798E-2</c:v>
                </c:pt>
                <c:pt idx="16">
                  <c:v>-7.0847623919654268E-3</c:v>
                </c:pt>
                <c:pt idx="17">
                  <c:v>-4.2365087147118174E-3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BE-454D-9716-0DDE90309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598272"/>
        <c:axId val="373598832"/>
      </c:scatterChart>
      <c:valAx>
        <c:axId val="37359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Adj LN 2012 PCI</a:t>
                </a:r>
              </a:p>
            </c:rich>
          </c:tx>
          <c:overlay val="0"/>
        </c:title>
        <c:numFmt formatCode="_(* #,##0.000_);_(* \(#,##0.0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3598832"/>
        <c:crosses val="autoZero"/>
        <c:crossBetween val="midCat"/>
      </c:valAx>
      <c:valAx>
        <c:axId val="3735988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73598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ADJ LN Pop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'Ch. 7 Data'!$CM$8:$CM$25</c:f>
              <c:numCache>
                <c:formatCode>_(* #,##0.000_);_(* \(#,##0.000\);_(* "-"??_);_(@_)</c:formatCode>
                <c:ptCount val="18"/>
                <c:pt idx="0">
                  <c:v>8.4577160529208975</c:v>
                </c:pt>
                <c:pt idx="1">
                  <c:v>8.458860832935855</c:v>
                </c:pt>
                <c:pt idx="2">
                  <c:v>8.4576278218538796</c:v>
                </c:pt>
                <c:pt idx="3">
                  <c:v>8.4558008722055344</c:v>
                </c:pt>
                <c:pt idx="4">
                  <c:v>8.4547114447539151</c:v>
                </c:pt>
                <c:pt idx="5">
                  <c:v>8.4534076384381223</c:v>
                </c:pt>
                <c:pt idx="6">
                  <c:v>8.4516025507784427</c:v>
                </c:pt>
                <c:pt idx="7">
                  <c:v>8.4480590118621315</c:v>
                </c:pt>
                <c:pt idx="8">
                  <c:v>8.4504410012155802</c:v>
                </c:pt>
                <c:pt idx="9">
                  <c:v>8.4518203851271458</c:v>
                </c:pt>
                <c:pt idx="10">
                  <c:v>8.4517617775076026</c:v>
                </c:pt>
                <c:pt idx="11">
                  <c:v>8.4518604937622719</c:v>
                </c:pt>
                <c:pt idx="12">
                  <c:v>8.4535559637226871</c:v>
                </c:pt>
                <c:pt idx="13">
                  <c:v>8.4549860452929195</c:v>
                </c:pt>
                <c:pt idx="14">
                  <c:v>8.456108181236516</c:v>
                </c:pt>
                <c:pt idx="15">
                  <c:v>8.4579689043274016</c:v>
                </c:pt>
                <c:pt idx="16">
                  <c:v>8.4756836016667201</c:v>
                </c:pt>
                <c:pt idx="17">
                  <c:v>8.4684381773521107</c:v>
                </c:pt>
              </c:numCache>
            </c:numRef>
          </c:xVal>
          <c:yVal>
            <c:numRef>
              <c:f>'Ch. 7 Data'!$CD$53:$CD$70</c:f>
              <c:numCache>
                <c:formatCode>0.000</c:formatCode>
                <c:ptCount val="18"/>
                <c:pt idx="0">
                  <c:v>-2.3039098410826853E-2</c:v>
                </c:pt>
                <c:pt idx="1">
                  <c:v>-5.6738037177392897E-3</c:v>
                </c:pt>
                <c:pt idx="2">
                  <c:v>-9.3409849815042634E-3</c:v>
                </c:pt>
                <c:pt idx="3">
                  <c:v>4.2983067828332722E-2</c:v>
                </c:pt>
                <c:pt idx="4">
                  <c:v>-3.739680961341918E-3</c:v>
                </c:pt>
                <c:pt idx="5">
                  <c:v>1.6990703548550812E-2</c:v>
                </c:pt>
                <c:pt idx="6">
                  <c:v>1.4847353481036052E-2</c:v>
                </c:pt>
                <c:pt idx="7">
                  <c:v>-3.3379028131973243E-2</c:v>
                </c:pt>
                <c:pt idx="8">
                  <c:v>-4.2822964798826746E-2</c:v>
                </c:pt>
                <c:pt idx="9">
                  <c:v>-4.3295620831120374E-2</c:v>
                </c:pt>
                <c:pt idx="10">
                  <c:v>8.8348467924994623E-3</c:v>
                </c:pt>
                <c:pt idx="11">
                  <c:v>5.9864984846205616E-2</c:v>
                </c:pt>
                <c:pt idx="12">
                  <c:v>-2.1341413329301062E-2</c:v>
                </c:pt>
                <c:pt idx="13">
                  <c:v>4.893002973522087E-2</c:v>
                </c:pt>
                <c:pt idx="14">
                  <c:v>1.5115425794677506E-2</c:v>
                </c:pt>
                <c:pt idx="15">
                  <c:v>-1.3612545757245798E-2</c:v>
                </c:pt>
                <c:pt idx="16">
                  <c:v>-7.0847623919654268E-3</c:v>
                </c:pt>
                <c:pt idx="17">
                  <c:v>-4.2365087147118174E-3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8C-41CA-8DF4-D24A1439A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01632"/>
        <c:axId val="373602192"/>
      </c:scatterChart>
      <c:valAx>
        <c:axId val="37360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ADJ LN Pop</a:t>
                </a:r>
              </a:p>
            </c:rich>
          </c:tx>
          <c:overlay val="0"/>
        </c:title>
        <c:numFmt formatCode="_(* #,##0.000_);_(* \(#,##0.0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3602192"/>
        <c:crosses val="autoZero"/>
        <c:crossBetween val="midCat"/>
      </c:valAx>
      <c:valAx>
        <c:axId val="37360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736016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'Ch. 7 Data'!$E$23</c:f>
          <c:strCache>
            <c:ptCount val="1"/>
            <c:pt idx="0">
              <c:v>West Virginia</c:v>
            </c:pt>
          </c:strCache>
        </c:strRef>
      </c:tx>
      <c:layout>
        <c:manualLayout>
          <c:xMode val="edge"/>
          <c:yMode val="edge"/>
          <c:x val="0.40973516397092963"/>
          <c:y val="2.907580477673935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'Ch. 7 Data'!$BD$1</c:f>
              <c:strCache>
                <c:ptCount val="1"/>
                <c:pt idx="0">
                  <c:v>Individual income Revenue 2012 Dollars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'Ch. 7 Data'!$BC$8:$BC$28</c:f>
              <c:numCache>
                <c:formatCode>0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xVal>
          <c:yVal>
            <c:numRef>
              <c:f>'Ch. 7 Data'!$BD$8:$BD$28</c:f>
              <c:numCache>
                <c:formatCode>_(* #,##0_);_(* \(#,##0\);_(* "-"??_);_(@_)</c:formatCode>
                <c:ptCount val="21"/>
                <c:pt idx="0">
                  <c:v>987</c:v>
                </c:pt>
                <c:pt idx="1">
                  <c:v>1037</c:v>
                </c:pt>
                <c:pt idx="2">
                  <c:v>1070</c:v>
                </c:pt>
                <c:pt idx="3">
                  <c:v>1099</c:v>
                </c:pt>
                <c:pt idx="4">
                  <c:v>1125</c:v>
                </c:pt>
                <c:pt idx="5">
                  <c:v>1220</c:v>
                </c:pt>
                <c:pt idx="6">
                  <c:v>1268</c:v>
                </c:pt>
                <c:pt idx="7">
                  <c:v>1288</c:v>
                </c:pt>
                <c:pt idx="8">
                  <c:v>1324</c:v>
                </c:pt>
                <c:pt idx="9">
                  <c:v>1321</c:v>
                </c:pt>
                <c:pt idx="10">
                  <c:v>1317</c:v>
                </c:pt>
                <c:pt idx="11">
                  <c:v>1298</c:v>
                </c:pt>
                <c:pt idx="12">
                  <c:v>1378</c:v>
                </c:pt>
                <c:pt idx="13">
                  <c:v>1478</c:v>
                </c:pt>
                <c:pt idx="14">
                  <c:v>1507</c:v>
                </c:pt>
                <c:pt idx="15">
                  <c:v>1620</c:v>
                </c:pt>
                <c:pt idx="16">
                  <c:v>1667</c:v>
                </c:pt>
                <c:pt idx="17">
                  <c:v>1602</c:v>
                </c:pt>
                <c:pt idx="18">
                  <c:v>1700</c:v>
                </c:pt>
                <c:pt idx="19">
                  <c:v>1756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12-4681-8437-E0AA6FDC5E7D}"/>
            </c:ext>
          </c:extLst>
        </c:ser>
        <c:ser>
          <c:idx val="2"/>
          <c:order val="1"/>
          <c:tx>
            <c:strRef>
              <c:f>'Ch. 7 Data'!$DB$7</c:f>
              <c:strCache>
                <c:ptCount val="1"/>
                <c:pt idx="0">
                  <c:v>Regression Forecast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'Ch. 7 Data'!$CZ$8:$CZ$26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xVal>
          <c:yVal>
            <c:numRef>
              <c:f>'Ch. 7 Data'!$DB$8:$DB$26</c:f>
              <c:numCache>
                <c:formatCode>_(* #,##0_);_(* \(#,##0\);_(* "-"??_);_(@_)</c:formatCode>
                <c:ptCount val="19"/>
                <c:pt idx="0">
                  <c:v>1136.8195368073946</c:v>
                </c:pt>
                <c:pt idx="1">
                  <c:v>1131.2460052018403</c:v>
                </c:pt>
                <c:pt idx="2">
                  <c:v>1161.0834272565862</c:v>
                </c:pt>
                <c:pt idx="3">
                  <c:v>1200.7328881418962</c:v>
                </c:pt>
                <c:pt idx="4">
                  <c:v>1311.1076540198915</c:v>
                </c:pt>
                <c:pt idx="5">
                  <c:v>1264.7012823319737</c:v>
                </c:pt>
                <c:pt idx="6">
                  <c:v>1315.9676425287571</c:v>
                </c:pt>
                <c:pt idx="7">
                  <c:v>1395.8965297490347</c:v>
                </c:pt>
                <c:pt idx="8">
                  <c:v>1414.112104738422</c:v>
                </c:pt>
                <c:pt idx="9">
                  <c:v>1383.6855595180932</c:v>
                </c:pt>
                <c:pt idx="10">
                  <c:v>1415.6947353945231</c:v>
                </c:pt>
                <c:pt idx="11">
                  <c:v>1402.5651066694572</c:v>
                </c:pt>
                <c:pt idx="12">
                  <c:v>1583.3778752598232</c:v>
                </c:pt>
                <c:pt idx="13">
                  <c:v>1568.5574843786267</c:v>
                </c:pt>
                <c:pt idx="14">
                  <c:v>1656.8998201709214</c:v>
                </c:pt>
                <c:pt idx="15">
                  <c:v>1595.0839273014208</c:v>
                </c:pt>
                <c:pt idx="16">
                  <c:v>1794.7620386247372</c:v>
                </c:pt>
                <c:pt idx="17">
                  <c:v>1808.7784808624497</c:v>
                </c:pt>
                <c:pt idx="18">
                  <c:v>1834.7547381367497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12-4681-8437-E0AA6FDC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06112"/>
        <c:axId val="373606672"/>
      </c:scatterChart>
      <c:valAx>
        <c:axId val="373606112"/>
        <c:scaling>
          <c:orientation val="minMax"/>
          <c:max val="2013"/>
          <c:min val="1993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3606672"/>
        <c:crosses val="autoZero"/>
        <c:crossBetween val="midCat"/>
        <c:majorUnit val="4"/>
      </c:valAx>
      <c:valAx>
        <c:axId val="373606672"/>
        <c:scaling>
          <c:orientation val="minMax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0611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'Ch. 7 Data'!$E$23</c:f>
          <c:strCache>
            <c:ptCount val="1"/>
            <c:pt idx="0">
              <c:v>West Virginia</c:v>
            </c:pt>
          </c:strCache>
        </c:strRef>
      </c:tx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'Ch. 7 Data'!$BD$1</c:f>
              <c:strCache>
                <c:ptCount val="1"/>
                <c:pt idx="0">
                  <c:v>Individual income Revenue 2012 Dollars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'Ch. 7 Data'!$BC$8:$BC$28</c:f>
              <c:numCache>
                <c:formatCode>0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xVal>
          <c:yVal>
            <c:numRef>
              <c:f>'Ch. 7 Data'!$BD$8:$BD$28</c:f>
              <c:numCache>
                <c:formatCode>_(* #,##0_);_(* \(#,##0\);_(* "-"??_);_(@_)</c:formatCode>
                <c:ptCount val="21"/>
                <c:pt idx="0">
                  <c:v>987</c:v>
                </c:pt>
                <c:pt idx="1">
                  <c:v>1037</c:v>
                </c:pt>
                <c:pt idx="2">
                  <c:v>1070</c:v>
                </c:pt>
                <c:pt idx="3">
                  <c:v>1099</c:v>
                </c:pt>
                <c:pt idx="4">
                  <c:v>1125</c:v>
                </c:pt>
                <c:pt idx="5">
                  <c:v>1220</c:v>
                </c:pt>
                <c:pt idx="6">
                  <c:v>1268</c:v>
                </c:pt>
                <c:pt idx="7">
                  <c:v>1288</c:v>
                </c:pt>
                <c:pt idx="8">
                  <c:v>1324</c:v>
                </c:pt>
                <c:pt idx="9">
                  <c:v>1321</c:v>
                </c:pt>
                <c:pt idx="10">
                  <c:v>1317</c:v>
                </c:pt>
                <c:pt idx="11">
                  <c:v>1298</c:v>
                </c:pt>
                <c:pt idx="12">
                  <c:v>1378</c:v>
                </c:pt>
                <c:pt idx="13">
                  <c:v>1478</c:v>
                </c:pt>
                <c:pt idx="14">
                  <c:v>1507</c:v>
                </c:pt>
                <c:pt idx="15">
                  <c:v>1620</c:v>
                </c:pt>
                <c:pt idx="16">
                  <c:v>1667</c:v>
                </c:pt>
                <c:pt idx="17">
                  <c:v>1602</c:v>
                </c:pt>
                <c:pt idx="18">
                  <c:v>1700</c:v>
                </c:pt>
                <c:pt idx="19">
                  <c:v>1756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33-49D9-9963-2AE83396F543}"/>
            </c:ext>
          </c:extLst>
        </c:ser>
        <c:ser>
          <c:idx val="2"/>
          <c:order val="1"/>
          <c:tx>
            <c:strRef>
              <c:f>'Ch. 7 Data'!$DJ$6</c:f>
              <c:strCache>
                <c:ptCount val="1"/>
                <c:pt idx="0">
                  <c:v>Average Forecast [Holt, Regression]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'Ch. 7 Data'!$DF$8:$DF$26</c:f>
              <c:numCache>
                <c:formatCode>General</c:formatCode>
                <c:ptCount val="19"/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xVal>
          <c:yVal>
            <c:numRef>
              <c:f>'Ch. 7 Data'!$DJ$8:$DJ$26</c:f>
              <c:numCache>
                <c:formatCode>_(* #,##0_);_(* \(#,##0\);_(* "-"??_);_(@_)</c:formatCode>
                <c:ptCount val="19"/>
                <c:pt idx="1">
                  <c:v>1120.5399443818021</c:v>
                </c:pt>
                <c:pt idx="2">
                  <c:v>1151.3505086838247</c:v>
                </c:pt>
                <c:pt idx="3">
                  <c:v>1185.133380604746</c:v>
                </c:pt>
                <c:pt idx="4">
                  <c:v>1276.2451279736674</c:v>
                </c:pt>
                <c:pt idx="5">
                  <c:v>1281.3019762239176</c:v>
                </c:pt>
                <c:pt idx="6">
                  <c:v>1323.2939845774058</c:v>
                </c:pt>
                <c:pt idx="7">
                  <c:v>1380.6625020152937</c:v>
                </c:pt>
                <c:pt idx="8">
                  <c:v>1394.7423228082844</c:v>
                </c:pt>
                <c:pt idx="9">
                  <c:v>1379.7795510946703</c:v>
                </c:pt>
                <c:pt idx="10">
                  <c:v>1389.4437253329961</c:v>
                </c:pt>
                <c:pt idx="11">
                  <c:v>1406.7078898508696</c:v>
                </c:pt>
                <c:pt idx="12">
                  <c:v>1538.1726520668399</c:v>
                </c:pt>
                <c:pt idx="13">
                  <c:v>1554.6034947546773</c:v>
                </c:pt>
                <c:pt idx="14">
                  <c:v>1644.1019151041023</c:v>
                </c:pt>
                <c:pt idx="15">
                  <c:v>1644.4495189953777</c:v>
                </c:pt>
                <c:pt idx="16">
                  <c:v>1733.804618161405</c:v>
                </c:pt>
                <c:pt idx="17">
                  <c:v>1769.0817011142715</c:v>
                </c:pt>
                <c:pt idx="18">
                  <c:v>1810.2504303988853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33-49D9-9963-2AE83396F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11152"/>
        <c:axId val="373800320"/>
      </c:scatterChart>
      <c:valAx>
        <c:axId val="373611152"/>
        <c:scaling>
          <c:orientation val="minMax"/>
          <c:max val="2013"/>
          <c:min val="1993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3800320"/>
        <c:crosses val="autoZero"/>
        <c:crossBetween val="midCat"/>
        <c:majorUnit val="4"/>
      </c:valAx>
      <c:valAx>
        <c:axId val="373800320"/>
        <c:scaling>
          <c:orientation val="minMax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1115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24</xdr:row>
      <xdr:rowOff>114300</xdr:rowOff>
    </xdr:from>
    <xdr:to>
      <xdr:col>14</xdr:col>
      <xdr:colOff>295275</xdr:colOff>
      <xdr:row>41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666750</xdr:colOff>
      <xdr:row>29</xdr:row>
      <xdr:rowOff>85725</xdr:rowOff>
    </xdr:from>
    <xdr:to>
      <xdr:col>47</xdr:col>
      <xdr:colOff>361950</xdr:colOff>
      <xdr:row>46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49</xdr:col>
      <xdr:colOff>0</xdr:colOff>
      <xdr:row>29</xdr:row>
      <xdr:rowOff>0</xdr:rowOff>
    </xdr:from>
    <xdr:to>
      <xdr:col>57</xdr:col>
      <xdr:colOff>171450</xdr:colOff>
      <xdr:row>45</xdr:row>
      <xdr:rowOff>123825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60</xdr:col>
      <xdr:colOff>123825</xdr:colOff>
      <xdr:row>52</xdr:row>
      <xdr:rowOff>38100</xdr:rowOff>
    </xdr:from>
    <xdr:to>
      <xdr:col>66</xdr:col>
      <xdr:colOff>123825</xdr:colOff>
      <xdr:row>69</xdr:row>
      <xdr:rowOff>76200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53</xdr:col>
      <xdr:colOff>542925</xdr:colOff>
      <xdr:row>52</xdr:row>
      <xdr:rowOff>66675</xdr:rowOff>
    </xdr:from>
    <xdr:to>
      <xdr:col>59</xdr:col>
      <xdr:colOff>495300</xdr:colOff>
      <xdr:row>69</xdr:row>
      <xdr:rowOff>38100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88</xdr:col>
      <xdr:colOff>571500</xdr:colOff>
      <xdr:row>47</xdr:row>
      <xdr:rowOff>47625</xdr:rowOff>
    </xdr:from>
    <xdr:to>
      <xdr:col>94</xdr:col>
      <xdr:colOff>600075</xdr:colOff>
      <xdr:row>60</xdr:row>
      <xdr:rowOff>85725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88</xdr:col>
      <xdr:colOff>600075</xdr:colOff>
      <xdr:row>61</xdr:row>
      <xdr:rowOff>38100</xdr:rowOff>
    </xdr:from>
    <xdr:to>
      <xdr:col>95</xdr:col>
      <xdr:colOff>19050</xdr:colOff>
      <xdr:row>75</xdr:row>
      <xdr:rowOff>0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95</xdr:col>
      <xdr:colOff>434975</xdr:colOff>
      <xdr:row>47</xdr:row>
      <xdr:rowOff>28575</xdr:rowOff>
    </xdr:from>
    <xdr:to>
      <xdr:col>104</xdr:col>
      <xdr:colOff>76200</xdr:colOff>
      <xdr:row>65</xdr:row>
      <xdr:rowOff>142875</xdr:rowOff>
    </xdr:to>
    <xdr:graphicFrame macro="">
      <xdr:nvGraphicFramePr>
        <xdr:cNvPr id="9" name="Chart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110</xdr:col>
      <xdr:colOff>333375</xdr:colOff>
      <xdr:row>27</xdr:row>
      <xdr:rowOff>38100</xdr:rowOff>
    </xdr:from>
    <xdr:to>
      <xdr:col>117</xdr:col>
      <xdr:colOff>38100</xdr:colOff>
      <xdr:row>44</xdr:row>
      <xdr:rowOff>66675</xdr:rowOff>
    </xdr:to>
    <xdr:graphicFrame macro="">
      <xdr:nvGraphicFramePr>
        <xdr:cNvPr id="10" name="Chart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98</xdr:col>
      <xdr:colOff>409575</xdr:colOff>
      <xdr:row>26</xdr:row>
      <xdr:rowOff>168275</xdr:rowOff>
    </xdr:from>
    <xdr:to>
      <xdr:col>98</xdr:col>
      <xdr:colOff>657225</xdr:colOff>
      <xdr:row>28</xdr:row>
      <xdr:rowOff>123825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96B3C271-2FA5-CC9C-2E42-DAF5FC87CEF8}"/>
            </a:ext>
          </a:extLst>
        </xdr:cNvPr>
        <xdr:cNvCxnSpPr/>
      </xdr:nvCxnSpPr>
      <xdr:spPr>
        <a:xfrm flipH="1" flipV="1">
          <a:off x="66465450" y="6283325"/>
          <a:ext cx="247650" cy="288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257175</xdr:colOff>
      <xdr:row>26</xdr:row>
      <xdr:rowOff>19050</xdr:rowOff>
    </xdr:from>
    <xdr:to>
      <xdr:col>98</xdr:col>
      <xdr:colOff>752475</xdr:colOff>
      <xdr:row>27</xdr:row>
      <xdr:rowOff>28575</xdr:rowOff>
    </xdr:to>
    <xdr:sp macro="" textlink="">
      <xdr:nvSpPr>
        <xdr:cNvPr id="13" name="Arrow: Left-Right 12">
          <a:extLst>
            <a:ext uri="{FF2B5EF4-FFF2-40B4-BE49-F238E27FC236}">
              <a16:creationId xmlns:a16="http://schemas.microsoft.com/office/drawing/2014/main" id="{F20B9B18-42F0-0D79-B11F-4BAEA796FAB4}"/>
            </a:ext>
          </a:extLst>
        </xdr:cNvPr>
        <xdr:cNvSpPr/>
      </xdr:nvSpPr>
      <xdr:spPr>
        <a:xfrm>
          <a:off x="57435750" y="6134100"/>
          <a:ext cx="9372600" cy="180975"/>
        </a:xfrm>
        <a:prstGeom prst="left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4F7BD-5E7F-4047-8706-076800DFE9B1}">
  <dimension ref="B1:S22"/>
  <sheetViews>
    <sheetView workbookViewId="0">
      <selection activeCell="E37" sqref="E37"/>
    </sheetView>
  </sheetViews>
  <sheetFormatPr defaultRowHeight="12.5" x14ac:dyDescent="0.25"/>
  <cols>
    <col min="2" max="2" width="20" customWidth="1"/>
    <col min="3" max="3" width="9.26953125" customWidth="1"/>
    <col min="4" max="4" width="7.6328125" customWidth="1"/>
    <col min="5" max="5" width="8.90625" customWidth="1"/>
    <col min="6" max="6" width="7.453125" customWidth="1"/>
    <col min="7" max="7" width="15.6328125" customWidth="1"/>
    <col min="8" max="8" width="7.6328125" customWidth="1"/>
    <col min="9" max="9" width="8.453125" customWidth="1"/>
    <col min="10" max="10" width="7.453125" customWidth="1"/>
    <col min="17" max="17" width="8.7265625" customWidth="1"/>
  </cols>
  <sheetData>
    <row r="1" spans="2:19" ht="13" thickBot="1" x14ac:dyDescent="0.3"/>
    <row r="2" spans="2:19" ht="21" customHeight="1" thickBot="1" x14ac:dyDescent="0.3">
      <c r="B2" s="92" t="s">
        <v>117</v>
      </c>
      <c r="C2" s="93"/>
      <c r="D2" s="93"/>
      <c r="E2" s="93"/>
      <c r="F2" s="93"/>
      <c r="G2" s="94"/>
      <c r="I2" s="88" t="s">
        <v>118</v>
      </c>
      <c r="J2" s="89"/>
      <c r="K2" s="89"/>
      <c r="L2" s="89"/>
      <c r="M2" s="89"/>
      <c r="N2" s="89"/>
      <c r="O2" s="89"/>
      <c r="P2" s="89"/>
      <c r="Q2" s="89"/>
      <c r="R2" s="89"/>
      <c r="S2" s="90"/>
    </row>
    <row r="3" spans="2:19" ht="14.5" x14ac:dyDescent="0.25">
      <c r="B3" s="87"/>
      <c r="C3" s="87"/>
      <c r="D3" s="87"/>
      <c r="E3" s="87"/>
      <c r="F3" s="87"/>
      <c r="G3" s="87"/>
    </row>
    <row r="4" spans="2:19" x14ac:dyDescent="0.25">
      <c r="B4" t="s">
        <v>75</v>
      </c>
    </row>
    <row r="5" spans="2:19" ht="13" thickBot="1" x14ac:dyDescent="0.3"/>
    <row r="6" spans="2:19" ht="13" x14ac:dyDescent="0.3">
      <c r="B6" s="91" t="s">
        <v>79</v>
      </c>
      <c r="C6" s="91"/>
      <c r="E6" s="58" t="s">
        <v>76</v>
      </c>
    </row>
    <row r="7" spans="2:19" ht="13" thickBot="1" x14ac:dyDescent="0.3">
      <c r="B7" t="s">
        <v>85</v>
      </c>
      <c r="C7" s="53">
        <v>0.9459698628836688</v>
      </c>
      <c r="E7" s="50">
        <f>'Ch. 7 Data'!CE31</f>
        <v>1.8170409027042007</v>
      </c>
      <c r="J7" s="64"/>
    </row>
    <row r="8" spans="2:19" x14ac:dyDescent="0.25">
      <c r="B8" t="s">
        <v>86</v>
      </c>
      <c r="C8" s="53">
        <v>0.89485898148414711</v>
      </c>
    </row>
    <row r="9" spans="2:19" x14ac:dyDescent="0.25">
      <c r="B9" t="s">
        <v>88</v>
      </c>
      <c r="C9" s="53">
        <v>0.88084017901536671</v>
      </c>
    </row>
    <row r="10" spans="2:19" x14ac:dyDescent="0.25">
      <c r="B10" t="s">
        <v>89</v>
      </c>
      <c r="C10" s="53">
        <v>3.1450250652451779E-2</v>
      </c>
    </row>
    <row r="11" spans="2:19" ht="13" thickBot="1" x14ac:dyDescent="0.3">
      <c r="B11" s="39" t="s">
        <v>90</v>
      </c>
      <c r="C11" s="39">
        <v>18</v>
      </c>
    </row>
    <row r="13" spans="2:19" ht="13" thickBot="1" x14ac:dyDescent="0.3">
      <c r="B13" t="s">
        <v>91</v>
      </c>
    </row>
    <row r="14" spans="2:19" ht="13" x14ac:dyDescent="0.3">
      <c r="B14" s="37"/>
      <c r="C14" s="37" t="s">
        <v>92</v>
      </c>
      <c r="D14" s="37" t="s">
        <v>93</v>
      </c>
      <c r="E14" s="37" t="s">
        <v>94</v>
      </c>
      <c r="F14" s="37" t="s">
        <v>95</v>
      </c>
      <c r="G14" s="71" t="s">
        <v>96</v>
      </c>
    </row>
    <row r="15" spans="2:19" x14ac:dyDescent="0.25">
      <c r="B15" t="s">
        <v>52</v>
      </c>
      <c r="C15">
        <v>2</v>
      </c>
      <c r="D15" s="53">
        <v>0.12627631584689053</v>
      </c>
      <c r="E15" s="53">
        <v>6.3138157923445265E-2</v>
      </c>
      <c r="F15" s="86">
        <v>63.832769131099575</v>
      </c>
      <c r="G15" s="53">
        <v>4.6056544226230027E-8</v>
      </c>
    </row>
    <row r="16" spans="2:19" x14ac:dyDescent="0.25">
      <c r="B16" t="s">
        <v>97</v>
      </c>
      <c r="C16">
        <v>15</v>
      </c>
      <c r="D16" s="53">
        <v>1.4836773991530655E-2</v>
      </c>
      <c r="E16" s="53">
        <v>9.891182661020436E-4</v>
      </c>
      <c r="F16" s="53"/>
      <c r="G16" s="53"/>
      <c r="H16" s="12"/>
      <c r="I16" s="12"/>
    </row>
    <row r="17" spans="2:10" ht="13" thickBot="1" x14ac:dyDescent="0.3">
      <c r="B17" s="39" t="s">
        <v>99</v>
      </c>
      <c r="C17" s="39">
        <v>17</v>
      </c>
      <c r="D17" s="72">
        <v>0.14111308983842119</v>
      </c>
      <c r="E17" s="72"/>
      <c r="F17" s="72"/>
      <c r="G17" s="72"/>
    </row>
    <row r="18" spans="2:10" ht="13" thickBot="1" x14ac:dyDescent="0.3"/>
    <row r="19" spans="2:10" ht="26" x14ac:dyDescent="0.3">
      <c r="B19" s="37"/>
      <c r="C19" s="71" t="s">
        <v>100</v>
      </c>
      <c r="D19" s="71" t="s">
        <v>89</v>
      </c>
      <c r="E19" s="71" t="s">
        <v>101</v>
      </c>
      <c r="F19" s="71" t="s">
        <v>102</v>
      </c>
      <c r="G19" s="71" t="s">
        <v>103</v>
      </c>
      <c r="H19" s="71" t="s">
        <v>104</v>
      </c>
      <c r="I19" s="71" t="s">
        <v>105</v>
      </c>
      <c r="J19" s="71" t="s">
        <v>106</v>
      </c>
    </row>
    <row r="20" spans="2:10" x14ac:dyDescent="0.25">
      <c r="B20" t="s">
        <v>107</v>
      </c>
      <c r="C20" s="18">
        <v>-24.206538294207068</v>
      </c>
      <c r="D20" s="18">
        <v>9.9003726169050239</v>
      </c>
      <c r="E20" s="18">
        <v>-2.445012852634866</v>
      </c>
      <c r="F20" s="18">
        <v>2.730753171903871E-2</v>
      </c>
      <c r="G20" s="18">
        <v>-45.30868300938171</v>
      </c>
      <c r="H20" s="18">
        <v>-3.104393579032422</v>
      </c>
      <c r="I20" s="18">
        <v>-45.30868300938171</v>
      </c>
      <c r="J20" s="18">
        <v>-3.104393579032422</v>
      </c>
    </row>
    <row r="21" spans="2:10" x14ac:dyDescent="0.25">
      <c r="B21" s="12" t="s">
        <v>43</v>
      </c>
      <c r="C21" s="18">
        <v>1.7112904958009896</v>
      </c>
      <c r="D21" s="18">
        <v>0.16874065525235649</v>
      </c>
      <c r="E21" s="18">
        <v>10.14154231676833</v>
      </c>
      <c r="F21" s="18">
        <v>4.1519672912036458E-8</v>
      </c>
      <c r="G21" s="18">
        <v>1.3516283028458957</v>
      </c>
      <c r="H21" s="18">
        <v>2.0709526887560834</v>
      </c>
      <c r="I21" s="18">
        <v>1.3516283028458957</v>
      </c>
      <c r="J21" s="18">
        <v>2.0709526887560834</v>
      </c>
    </row>
    <row r="22" spans="2:10" ht="13" thickBot="1" x14ac:dyDescent="0.3">
      <c r="B22" s="73" t="s">
        <v>44</v>
      </c>
      <c r="C22" s="74">
        <v>2.6177416309965915</v>
      </c>
      <c r="D22" s="74">
        <v>1.1962422307091758</v>
      </c>
      <c r="E22" s="74">
        <v>2.1883039770671693</v>
      </c>
      <c r="F22" s="74">
        <v>4.4885612958141072E-2</v>
      </c>
      <c r="G22" s="74">
        <v>6.8011671972108445E-2</v>
      </c>
      <c r="H22" s="74">
        <v>5.1674715900210746</v>
      </c>
      <c r="I22" s="74">
        <v>6.8011671972108445E-2</v>
      </c>
      <c r="J22" s="74">
        <v>5.1674715900210746</v>
      </c>
    </row>
  </sheetData>
  <mergeCells count="2">
    <mergeCell ref="B6:C6"/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112"/>
  <sheetViews>
    <sheetView tabSelected="1" zoomScaleNormal="100" workbookViewId="0">
      <selection activeCell="G32" sqref="G32"/>
    </sheetView>
  </sheetViews>
  <sheetFormatPr defaultRowHeight="12.5" x14ac:dyDescent="0.25"/>
  <cols>
    <col min="1" max="1" width="11.453125" bestFit="1" customWidth="1"/>
    <col min="2" max="2" width="3" bestFit="1" customWidth="1"/>
    <col min="3" max="3" width="28.81640625" bestFit="1" customWidth="1"/>
    <col min="4" max="4" width="7.26953125" bestFit="1" customWidth="1"/>
    <col min="5" max="5" width="15" customWidth="1"/>
    <col min="6" max="6" width="5.1796875" bestFit="1" customWidth="1"/>
    <col min="7" max="7" width="12.7265625" customWidth="1"/>
    <col min="8" max="8" width="10.1796875" bestFit="1" customWidth="1"/>
    <col min="9" max="9" width="10.453125" bestFit="1" customWidth="1"/>
    <col min="10" max="10" width="11.26953125" bestFit="1" customWidth="1"/>
    <col min="11" max="12" width="11.26953125" customWidth="1"/>
    <col min="13" max="13" width="5.1796875" bestFit="1" customWidth="1"/>
    <col min="14" max="14" width="10" customWidth="1"/>
    <col min="15" max="15" width="9.54296875" customWidth="1"/>
    <col min="16" max="16" width="6.7265625" bestFit="1" customWidth="1"/>
    <col min="17" max="17" width="6.7265625" customWidth="1"/>
    <col min="18" max="18" width="7.7265625" bestFit="1" customWidth="1"/>
    <col min="19" max="19" width="7.26953125" bestFit="1" customWidth="1"/>
    <col min="20" max="20" width="11.453125" customWidth="1"/>
    <col min="23" max="23" width="5.1796875" bestFit="1" customWidth="1"/>
    <col min="24" max="24" width="9.81640625" customWidth="1"/>
    <col min="27" max="27" width="10.26953125" bestFit="1" customWidth="1"/>
    <col min="29" max="29" width="5.1796875" bestFit="1" customWidth="1"/>
    <col min="30" max="30" width="9.7265625" customWidth="1"/>
    <col min="36" max="36" width="10.26953125" bestFit="1" customWidth="1"/>
    <col min="38" max="38" width="5.1796875" bestFit="1" customWidth="1"/>
    <col min="39" max="39" width="10.1796875" customWidth="1"/>
    <col min="45" max="45" width="10.26953125" bestFit="1" customWidth="1"/>
    <col min="47" max="47" width="5.1796875" bestFit="1" customWidth="1"/>
    <col min="48" max="48" width="10" bestFit="1" customWidth="1"/>
    <col min="53" max="53" width="10.26953125" bestFit="1" customWidth="1"/>
    <col min="61" max="61" width="10.26953125" bestFit="1" customWidth="1"/>
    <col min="65" max="65" width="10.26953125" bestFit="1" customWidth="1"/>
    <col min="68" max="68" width="10.26953125" bestFit="1" customWidth="1"/>
    <col min="71" max="71" width="10.26953125" bestFit="1" customWidth="1"/>
    <col min="74" max="74" width="18.26953125" bestFit="1" customWidth="1"/>
    <col min="75" max="75" width="20.7265625" bestFit="1" customWidth="1"/>
    <col min="76" max="77" width="9.26953125" bestFit="1" customWidth="1"/>
    <col min="78" max="78" width="9.54296875" bestFit="1" customWidth="1"/>
    <col min="79" max="79" width="11.26953125" customWidth="1"/>
    <col min="86" max="86" width="20.1796875" bestFit="1" customWidth="1"/>
    <col min="88" max="89" width="10.26953125" bestFit="1" customWidth="1"/>
    <col min="91" max="91" width="10.26953125" bestFit="1" customWidth="1"/>
    <col min="92" max="92" width="12.453125" bestFit="1" customWidth="1"/>
    <col min="93" max="93" width="12.1796875" bestFit="1" customWidth="1"/>
    <col min="94" max="95" width="10.26953125" bestFit="1" customWidth="1"/>
    <col min="96" max="96" width="11.26953125" bestFit="1" customWidth="1"/>
    <col min="97" max="100" width="11.26953125" customWidth="1"/>
    <col min="102" max="102" width="10.453125" customWidth="1"/>
    <col min="103" max="103" width="9.1796875" customWidth="1"/>
    <col min="114" max="114" width="11.7265625" customWidth="1"/>
    <col min="116" max="116" width="12.81640625" bestFit="1" customWidth="1"/>
    <col min="117" max="117" width="18.7265625" bestFit="1" customWidth="1"/>
    <col min="118" max="118" width="12" customWidth="1"/>
    <col min="119" max="119" width="7.54296875" customWidth="1"/>
    <col min="120" max="120" width="10.26953125" bestFit="1" customWidth="1"/>
    <col min="121" max="121" width="7.54296875" bestFit="1" customWidth="1"/>
    <col min="122" max="122" width="10.1796875" bestFit="1" customWidth="1"/>
    <col min="123" max="123" width="9.54296875" bestFit="1" customWidth="1"/>
    <col min="124" max="124" width="10.1796875" bestFit="1" customWidth="1"/>
    <col min="125" max="125" width="9.54296875" bestFit="1" customWidth="1"/>
  </cols>
  <sheetData>
    <row r="1" spans="1:125" ht="65.5" thickBot="1" x14ac:dyDescent="0.35">
      <c r="A1" s="1" t="s">
        <v>0</v>
      </c>
      <c r="C1" s="1" t="s">
        <v>1</v>
      </c>
      <c r="D1" s="1" t="s">
        <v>2</v>
      </c>
      <c r="E1" s="2"/>
      <c r="F1" s="1">
        <f>E1</f>
        <v>0</v>
      </c>
      <c r="I1" s="3"/>
      <c r="J1" s="4" t="str">
        <f>$C$1&amp;C2&amp;$D$1</f>
        <v>Constant 1993 Dollars</v>
      </c>
      <c r="K1" s="4" t="str">
        <f>$C$1&amp;D2&amp;$D$1</f>
        <v>Constant 2012 Dollars</v>
      </c>
      <c r="M1" s="5" t="str">
        <f>H3</f>
        <v>Year</v>
      </c>
      <c r="N1" s="6" t="str">
        <f>G3&amp; " Revenue"&amp;" "&amp;D2&amp;D1</f>
        <v>Individual income Revenue 2012 Dollars</v>
      </c>
      <c r="O1" s="6" t="s">
        <v>3</v>
      </c>
      <c r="P1" s="6" t="s">
        <v>4</v>
      </c>
      <c r="Q1" s="6" t="s">
        <v>5</v>
      </c>
      <c r="R1" s="6" t="s">
        <v>6</v>
      </c>
      <c r="S1" s="6" t="s">
        <v>7</v>
      </c>
      <c r="T1" s="6" t="s">
        <v>8</v>
      </c>
      <c r="W1" s="5" t="str">
        <f>M1</f>
        <v>Year</v>
      </c>
      <c r="X1" s="6" t="str">
        <f>N1</f>
        <v>Individual income Revenue 2012 Dollars</v>
      </c>
      <c r="Y1" s="6" t="s">
        <v>9</v>
      </c>
      <c r="Z1" s="6" t="str">
        <f>S1</f>
        <v>e</v>
      </c>
      <c r="AA1" s="6" t="str">
        <f>T1</f>
        <v>e^2</v>
      </c>
      <c r="AC1" s="5" t="str">
        <f>W1</f>
        <v>Year</v>
      </c>
      <c r="AD1" s="6" t="str">
        <f>X1</f>
        <v>Individual income Revenue 2012 Dollars</v>
      </c>
      <c r="AE1" s="6" t="s">
        <v>3</v>
      </c>
      <c r="AF1" s="6" t="s">
        <v>10</v>
      </c>
      <c r="AG1" s="6" t="s">
        <v>11</v>
      </c>
      <c r="AH1" s="6" t="s">
        <v>6</v>
      </c>
      <c r="AI1" s="6" t="s">
        <v>7</v>
      </c>
      <c r="AJ1" s="6" t="str">
        <f>AA1</f>
        <v>e^2</v>
      </c>
      <c r="AL1" s="5" t="s">
        <v>12</v>
      </c>
      <c r="AM1" s="6" t="str">
        <f>AD1</f>
        <v>Individual income Revenue 2012 Dollars</v>
      </c>
      <c r="AN1" s="6" t="s">
        <v>3</v>
      </c>
      <c r="AO1" s="6" t="s">
        <v>13</v>
      </c>
      <c r="AP1" s="6" t="s">
        <v>14</v>
      </c>
      <c r="AQ1" s="6" t="s">
        <v>6</v>
      </c>
      <c r="AR1" s="6" t="s">
        <v>7</v>
      </c>
      <c r="AS1" s="6" t="s">
        <v>8</v>
      </c>
      <c r="AU1" s="5" t="s">
        <v>12</v>
      </c>
      <c r="AV1" s="6" t="str">
        <f>AM1</f>
        <v>Individual income Revenue 2012 Dollars</v>
      </c>
      <c r="AW1" s="7" t="s">
        <v>15</v>
      </c>
      <c r="AX1" s="7" t="s">
        <v>16</v>
      </c>
      <c r="AY1" s="6" t="s">
        <v>6</v>
      </c>
      <c r="AZ1" s="6" t="s">
        <v>7</v>
      </c>
      <c r="BA1" s="6" t="s">
        <v>8</v>
      </c>
      <c r="BC1" s="5" t="s">
        <v>12</v>
      </c>
      <c r="BD1" s="6" t="str">
        <f>AV1</f>
        <v>Individual income Revenue 2012 Dollars</v>
      </c>
      <c r="BE1" s="7" t="s">
        <v>15</v>
      </c>
      <c r="BF1" s="7" t="s">
        <v>16</v>
      </c>
      <c r="BG1" s="6" t="s">
        <v>6</v>
      </c>
      <c r="BH1" s="6" t="s">
        <v>7</v>
      </c>
      <c r="BI1" s="6" t="s">
        <v>8</v>
      </c>
      <c r="BP1" t="s">
        <v>116</v>
      </c>
    </row>
    <row r="2" spans="1:125" ht="13.5" thickBot="1" x14ac:dyDescent="0.35">
      <c r="B2" s="8">
        <v>2</v>
      </c>
      <c r="C2" s="8">
        <v>1993</v>
      </c>
      <c r="D2" s="8">
        <v>2012</v>
      </c>
      <c r="E2" s="9"/>
      <c r="F2" s="97">
        <v>9</v>
      </c>
      <c r="G2" s="97"/>
      <c r="I2" t="s">
        <v>17</v>
      </c>
      <c r="M2" s="10"/>
      <c r="N2" s="10"/>
      <c r="O2" s="10"/>
      <c r="P2" s="10"/>
      <c r="R2" s="10">
        <f>(COUNT(N4:N6)+1)/2</f>
        <v>2</v>
      </c>
      <c r="S2" s="11">
        <f>AVERAGE(S7:S23)</f>
        <v>2.2444444444444644</v>
      </c>
      <c r="T2" s="11">
        <f>AVERAGE(T7:T23)</f>
        <v>3278.3037037037034</v>
      </c>
      <c r="U2" s="12" t="s">
        <v>18</v>
      </c>
      <c r="W2" s="10"/>
      <c r="Z2" s="11">
        <f>AVERAGE(Z7:Z23)</f>
        <v>80.599999999999994</v>
      </c>
      <c r="AA2" s="11">
        <f>AVERAGE(AA7:AA23)</f>
        <v>9504.2592592592609</v>
      </c>
      <c r="AB2" s="12" t="s">
        <v>18</v>
      </c>
      <c r="AC2" s="10"/>
      <c r="AE2" s="10"/>
      <c r="AF2" s="10"/>
      <c r="AH2" s="10">
        <f>(COUNT(AD4:AD5)+1)/2</f>
        <v>1.5</v>
      </c>
      <c r="AI2" s="11">
        <f>AVERAGE(AI7:AI23)</f>
        <v>-13.433333333333334</v>
      </c>
      <c r="AJ2" s="11">
        <f>AVERAGE(AJ7:AJ23)</f>
        <v>6435.3833333333332</v>
      </c>
      <c r="AK2" s="12" t="s">
        <v>18</v>
      </c>
      <c r="AL2" s="10"/>
      <c r="AN2" s="10"/>
      <c r="AO2" s="10"/>
      <c r="AQ2" s="10">
        <f>(COUNT(AM4:AM7)+1)/2</f>
        <v>2.5</v>
      </c>
      <c r="AR2" s="11">
        <f>AVERAGE(AR7:AR23)</f>
        <v>-14.366666666666667</v>
      </c>
      <c r="AS2" s="11">
        <f>AVERAGE(AS7:AS23)</f>
        <v>6349.5166666666664</v>
      </c>
      <c r="AT2" s="12" t="s">
        <v>18</v>
      </c>
      <c r="AU2" s="10"/>
      <c r="AV2" s="10"/>
      <c r="AW2" s="10">
        <v>0.65</v>
      </c>
      <c r="AX2" s="10">
        <v>0.01</v>
      </c>
      <c r="AY2" s="10"/>
      <c r="AZ2" s="11">
        <f>AVERAGE(AZ11:AZ27)</f>
        <v>1.4954667447147907</v>
      </c>
      <c r="BA2" s="11">
        <f>AVERAGE(BA11:BA27)</f>
        <v>2212.2243235961573</v>
      </c>
      <c r="BB2" s="12" t="s">
        <v>18</v>
      </c>
      <c r="BC2" s="10"/>
      <c r="BD2" s="10"/>
      <c r="BE2" s="10">
        <v>0.65</v>
      </c>
      <c r="BF2" s="10">
        <v>1E-3</v>
      </c>
      <c r="BG2" s="13" t="s">
        <v>19</v>
      </c>
      <c r="BH2" s="11">
        <f>AVERAGE(BH11:BH27)</f>
        <v>1.9694878558710329</v>
      </c>
      <c r="BI2" s="11">
        <f>AVERAGE(BI11:BI27)</f>
        <v>2198.1100703651323</v>
      </c>
      <c r="BJ2" s="12" t="s">
        <v>18</v>
      </c>
    </row>
    <row r="3" spans="1:125" ht="26.5" thickBot="1" x14ac:dyDescent="0.3">
      <c r="A3" s="8" t="s">
        <v>20</v>
      </c>
      <c r="B3" s="8">
        <v>3</v>
      </c>
      <c r="C3" s="8">
        <v>3</v>
      </c>
      <c r="D3" s="8">
        <v>28</v>
      </c>
      <c r="F3" s="5" t="s">
        <v>12</v>
      </c>
      <c r="G3" s="6" t="s">
        <v>21</v>
      </c>
      <c r="H3" s="5" t="s">
        <v>12</v>
      </c>
      <c r="I3" s="6" t="s">
        <v>22</v>
      </c>
      <c r="L3">
        <v>1000</v>
      </c>
      <c r="M3" s="14"/>
      <c r="N3" s="14"/>
      <c r="O3" s="14"/>
      <c r="P3" s="14"/>
      <c r="Q3" s="14"/>
      <c r="R3" s="14"/>
      <c r="S3" s="10"/>
      <c r="T3" s="11">
        <f>SQRT(T2)</f>
        <v>57.256473028852412</v>
      </c>
      <c r="U3" s="12" t="s">
        <v>23</v>
      </c>
      <c r="W3" s="14"/>
      <c r="Z3" s="10"/>
      <c r="AA3" s="11">
        <f>SQRT(AA2)</f>
        <v>97.489790538595685</v>
      </c>
      <c r="AB3" s="12" t="s">
        <v>23</v>
      </c>
      <c r="AC3" s="14"/>
      <c r="AE3" s="14"/>
      <c r="AF3" s="14"/>
      <c r="AG3" s="14"/>
      <c r="AH3" s="14"/>
      <c r="AI3" s="10"/>
      <c r="AJ3" s="11">
        <f>SQRT(AJ2)</f>
        <v>80.220841016118328</v>
      </c>
      <c r="AK3" s="12" t="s">
        <v>23</v>
      </c>
      <c r="AL3" s="14"/>
      <c r="AN3" s="14"/>
      <c r="AO3" s="14"/>
      <c r="AP3" s="14"/>
      <c r="AQ3" s="14"/>
      <c r="AR3" s="10"/>
      <c r="AS3" s="11">
        <f>SQRT(AS2)</f>
        <v>79.683854491776856</v>
      </c>
      <c r="AT3" s="12" t="s">
        <v>23</v>
      </c>
      <c r="AU3" s="14"/>
      <c r="AV3" s="10"/>
      <c r="AW3" s="11"/>
      <c r="AX3" s="11">
        <f>AVERAGE(AV11:AV13)</f>
        <v>1148</v>
      </c>
      <c r="AY3" s="10"/>
      <c r="AZ3" s="10"/>
      <c r="BA3" s="11">
        <f>SQRT(BA2)</f>
        <v>47.034288807168728</v>
      </c>
      <c r="BB3" s="12" t="s">
        <v>23</v>
      </c>
      <c r="BC3" s="14"/>
      <c r="BD3" s="10"/>
      <c r="BE3" s="10"/>
      <c r="BF3" s="11">
        <f>AVERAGE(BD11:BD13)</f>
        <v>1148</v>
      </c>
      <c r="BG3" s="15">
        <v>0.999</v>
      </c>
      <c r="BH3" s="10"/>
      <c r="BI3" s="11">
        <f>SQRT(BI2)</f>
        <v>46.884006551969641</v>
      </c>
      <c r="BJ3" s="12" t="s">
        <v>23</v>
      </c>
    </row>
    <row r="4" spans="1:125" ht="13" x14ac:dyDescent="0.3">
      <c r="A4" s="8" t="s">
        <v>24</v>
      </c>
      <c r="B4" s="8">
        <v>4</v>
      </c>
      <c r="C4" s="1" t="s">
        <v>21</v>
      </c>
      <c r="E4" s="12" t="s">
        <v>25</v>
      </c>
      <c r="F4" s="12">
        <v>1993</v>
      </c>
      <c r="G4" s="16">
        <v>621174</v>
      </c>
      <c r="H4" s="17">
        <v>33970</v>
      </c>
      <c r="I4" s="18">
        <v>144.47499999999999</v>
      </c>
      <c r="J4" s="19">
        <f t="shared" ref="J4:J23" si="0">ROUND($G4*I$4/I4,0)</f>
        <v>621174</v>
      </c>
      <c r="K4" s="19">
        <f>ROUND($G4*I$23/I4,0)</f>
        <v>987188</v>
      </c>
      <c r="L4" s="19"/>
      <c r="M4" s="20">
        <f>YEAR(H4)</f>
        <v>1993</v>
      </c>
      <c r="N4" s="11">
        <f>ROUND(K4/$L$3,0)</f>
        <v>987</v>
      </c>
      <c r="O4" s="11"/>
      <c r="P4" s="10"/>
      <c r="Q4" s="10"/>
      <c r="R4" s="10"/>
      <c r="S4" s="10"/>
      <c r="T4" s="10"/>
      <c r="W4" s="20">
        <f>M4</f>
        <v>1993</v>
      </c>
      <c r="X4" s="19">
        <f>N4</f>
        <v>987</v>
      </c>
      <c r="AC4" s="20">
        <f t="shared" ref="AC4:AD23" si="1">W4</f>
        <v>1993</v>
      </c>
      <c r="AD4" s="19">
        <f t="shared" si="1"/>
        <v>987</v>
      </c>
      <c r="AE4" s="11"/>
      <c r="AF4" s="10"/>
      <c r="AG4" s="10"/>
      <c r="AH4" s="10"/>
      <c r="AI4" s="10"/>
      <c r="AL4" s="20">
        <f>AC4</f>
        <v>1993</v>
      </c>
      <c r="AM4" s="19">
        <f>AD4</f>
        <v>987</v>
      </c>
      <c r="AN4" s="11"/>
      <c r="AO4" s="10"/>
      <c r="AP4" s="10"/>
      <c r="AQ4" s="10"/>
      <c r="AR4" s="10"/>
      <c r="AV4" s="10"/>
      <c r="AW4" s="11"/>
      <c r="AX4" s="11">
        <f>AVERAGE(AV8:AV10)</f>
        <v>1031.3333333333333</v>
      </c>
      <c r="AY4" s="10"/>
      <c r="AZ4" s="10"/>
      <c r="BA4" s="10"/>
      <c r="BC4" s="10"/>
      <c r="BD4" s="10"/>
      <c r="BE4" s="11"/>
      <c r="BF4" s="11">
        <f>AVERAGE(BD8:BD10)</f>
        <v>1031.3333333333333</v>
      </c>
      <c r="BG4" s="10"/>
      <c r="BH4" s="10"/>
      <c r="BI4" s="10"/>
      <c r="DC4" s="6" t="s">
        <v>7</v>
      </c>
      <c r="DD4" s="6" t="s">
        <v>8</v>
      </c>
    </row>
    <row r="5" spans="1:125" ht="13.5" thickBot="1" x14ac:dyDescent="0.35">
      <c r="A5" s="8" t="s">
        <v>26</v>
      </c>
      <c r="B5" s="8">
        <v>5</v>
      </c>
      <c r="C5" s="1" t="s">
        <v>21</v>
      </c>
      <c r="E5" s="12" t="s">
        <v>25</v>
      </c>
      <c r="F5" s="12">
        <v>1994</v>
      </c>
      <c r="G5" s="16">
        <v>669694</v>
      </c>
      <c r="H5" s="17">
        <v>34335</v>
      </c>
      <c r="I5" s="18">
        <v>148.22499999999999</v>
      </c>
      <c r="J5" s="19">
        <f t="shared" si="0"/>
        <v>652751</v>
      </c>
      <c r="K5" s="19">
        <f t="shared" ref="K5:K23" si="2">ROUND($G5*I$23/I5,0)</f>
        <v>1037372</v>
      </c>
      <c r="L5" s="19"/>
      <c r="M5" s="20">
        <f t="shared" ref="M5:M23" si="3">YEAR(H5)</f>
        <v>1994</v>
      </c>
      <c r="N5" s="11">
        <f t="shared" ref="N5:N23" si="4">ROUND(K5/$L$3,0)</f>
        <v>1037</v>
      </c>
      <c r="O5" s="11">
        <f>N5-N4</f>
        <v>50</v>
      </c>
      <c r="P5" s="10"/>
      <c r="Q5" s="10"/>
      <c r="R5" s="10"/>
      <c r="S5" s="10"/>
      <c r="T5" s="10"/>
      <c r="W5" s="20">
        <f>M5</f>
        <v>1994</v>
      </c>
      <c r="X5" s="19">
        <f t="shared" ref="X5:X23" si="5">N5</f>
        <v>1037</v>
      </c>
      <c r="AC5" s="20">
        <f t="shared" si="1"/>
        <v>1994</v>
      </c>
      <c r="AD5" s="19">
        <f t="shared" si="1"/>
        <v>1037</v>
      </c>
      <c r="AE5" s="11">
        <f>AD5-AD4</f>
        <v>50</v>
      </c>
      <c r="AF5" s="10"/>
      <c r="AG5" s="10"/>
      <c r="AH5" s="10"/>
      <c r="AI5" s="10"/>
      <c r="AL5" s="20">
        <f t="shared" ref="AL5:AM24" si="6">AC5</f>
        <v>1994</v>
      </c>
      <c r="AM5" s="19">
        <f t="shared" si="6"/>
        <v>1037</v>
      </c>
      <c r="AN5" s="11">
        <f>AM5-AM4</f>
        <v>50</v>
      </c>
      <c r="AO5" s="10"/>
      <c r="AP5" s="10"/>
      <c r="AQ5" s="10"/>
      <c r="AR5" s="10"/>
      <c r="AV5" s="10"/>
      <c r="AW5" s="10"/>
      <c r="AX5" s="11">
        <f>AX3-AX4</f>
        <v>116.66666666666674</v>
      </c>
      <c r="AY5" s="10"/>
      <c r="AZ5" s="10"/>
      <c r="BA5" s="10"/>
      <c r="BC5" s="10"/>
      <c r="BD5" s="10"/>
      <c r="BE5" s="10"/>
      <c r="BF5" s="11">
        <f>BF3-BF4</f>
        <v>116.66666666666674</v>
      </c>
      <c r="BG5" s="10"/>
      <c r="BH5" s="10"/>
      <c r="BI5" s="10"/>
      <c r="DC5" s="11">
        <f>AVERAGE(DC11:DC27)</f>
        <v>-24.563008646001858</v>
      </c>
      <c r="DD5" s="11">
        <f>AVERAGE(DD11:DD27)</f>
        <v>3513.6622549678277</v>
      </c>
      <c r="DE5" s="12" t="s">
        <v>27</v>
      </c>
      <c r="DJ5" s="19"/>
    </row>
    <row r="6" spans="1:125" ht="50.5" thickBot="1" x14ac:dyDescent="0.35">
      <c r="A6" s="8" t="s">
        <v>28</v>
      </c>
      <c r="B6" s="8">
        <v>6</v>
      </c>
      <c r="C6" s="1" t="s">
        <v>21</v>
      </c>
      <c r="E6" s="12" t="s">
        <v>25</v>
      </c>
      <c r="F6" s="12">
        <v>1995</v>
      </c>
      <c r="G6" s="16">
        <v>709923</v>
      </c>
      <c r="H6" s="17">
        <v>34700</v>
      </c>
      <c r="I6" s="18">
        <v>152.38300000000001</v>
      </c>
      <c r="J6" s="19">
        <f t="shared" si="0"/>
        <v>673081</v>
      </c>
      <c r="K6" s="19">
        <f t="shared" si="2"/>
        <v>1069681</v>
      </c>
      <c r="L6" s="19"/>
      <c r="M6" s="20">
        <f t="shared" si="3"/>
        <v>1995</v>
      </c>
      <c r="N6" s="11">
        <f t="shared" si="4"/>
        <v>1070</v>
      </c>
      <c r="O6" s="11">
        <f t="shared" ref="O6:O23" si="7">N6-N5</f>
        <v>33</v>
      </c>
      <c r="P6" s="10"/>
      <c r="Q6" s="10"/>
      <c r="R6" s="10"/>
      <c r="S6" s="10"/>
      <c r="T6" s="10"/>
      <c r="W6" s="20">
        <f t="shared" ref="W6:W24" si="8">M6</f>
        <v>1995</v>
      </c>
      <c r="X6" s="19">
        <f t="shared" si="5"/>
        <v>1070</v>
      </c>
      <c r="AC6" s="20">
        <f t="shared" si="1"/>
        <v>1995</v>
      </c>
      <c r="AD6" s="19">
        <f t="shared" si="1"/>
        <v>1070</v>
      </c>
      <c r="AE6" s="11">
        <f t="shared" ref="AE6:AE23" si="9">AD6-AD5</f>
        <v>33</v>
      </c>
      <c r="AF6" s="11">
        <f>AVERAGE(AD4:AD5)</f>
        <v>1012</v>
      </c>
      <c r="AG6" s="10"/>
      <c r="AH6" s="10"/>
      <c r="AI6" s="10"/>
      <c r="AL6" s="20">
        <f t="shared" si="6"/>
        <v>1995</v>
      </c>
      <c r="AM6" s="19">
        <f t="shared" si="6"/>
        <v>1070</v>
      </c>
      <c r="AN6" s="11">
        <f t="shared" ref="AN6:AN23" si="10">AM6-AM5</f>
        <v>33</v>
      </c>
      <c r="AO6" s="11"/>
      <c r="AP6" s="10"/>
      <c r="AQ6" s="10"/>
      <c r="AR6" s="10"/>
      <c r="AV6" s="10"/>
      <c r="AW6" s="11">
        <f>(AX6+1)/2</f>
        <v>2</v>
      </c>
      <c r="AX6" s="11">
        <f>COUNT(AV8:AV10)</f>
        <v>3</v>
      </c>
      <c r="AY6" s="10"/>
      <c r="AZ6" s="10"/>
      <c r="BA6" s="10"/>
      <c r="BC6" s="10"/>
      <c r="BD6" s="10"/>
      <c r="BE6" s="11">
        <f>(BF6+1)/2</f>
        <v>2</v>
      </c>
      <c r="BF6" s="11">
        <f>COUNT(BD8:BD10)</f>
        <v>3</v>
      </c>
      <c r="BG6" s="10"/>
      <c r="BH6" s="10"/>
      <c r="BI6" s="10"/>
      <c r="DA6">
        <v>1000</v>
      </c>
      <c r="DC6" s="10"/>
      <c r="DD6" s="11">
        <f>SQRT(DD5)</f>
        <v>59.276152498014135</v>
      </c>
      <c r="DE6" s="12" t="s">
        <v>23</v>
      </c>
      <c r="DG6" s="21" t="str">
        <f>DA7</f>
        <v>W.VA PIT 2012 Dollars</v>
      </c>
      <c r="DH6" s="21" t="str">
        <f>DB7</f>
        <v>Regression Forecast</v>
      </c>
      <c r="DI6" s="21" t="s">
        <v>29</v>
      </c>
      <c r="DJ6" s="21" t="s">
        <v>30</v>
      </c>
      <c r="DK6" s="6" t="s">
        <v>7</v>
      </c>
      <c r="DL6" s="6" t="s">
        <v>8</v>
      </c>
      <c r="DO6" s="95" t="s">
        <v>31</v>
      </c>
      <c r="DP6" s="98"/>
      <c r="DQ6" s="96"/>
      <c r="DR6" s="24" t="s">
        <v>32</v>
      </c>
      <c r="DS6" s="95" t="s">
        <v>33</v>
      </c>
      <c r="DT6" s="98"/>
      <c r="DU6" s="96"/>
    </row>
    <row r="7" spans="1:125" ht="50.5" x14ac:dyDescent="0.3">
      <c r="A7" s="8" t="s">
        <v>34</v>
      </c>
      <c r="B7" s="8">
        <v>7</v>
      </c>
      <c r="C7" s="1" t="s">
        <v>21</v>
      </c>
      <c r="E7" s="12" t="s">
        <v>25</v>
      </c>
      <c r="F7" s="12">
        <v>1996</v>
      </c>
      <c r="G7" s="16">
        <v>750889</v>
      </c>
      <c r="H7" s="17">
        <v>35065</v>
      </c>
      <c r="I7" s="18">
        <v>156.858</v>
      </c>
      <c r="J7" s="19">
        <f t="shared" si="0"/>
        <v>691611</v>
      </c>
      <c r="K7" s="19">
        <f t="shared" si="2"/>
        <v>1099129</v>
      </c>
      <c r="L7" s="19"/>
      <c r="M7" s="20">
        <f t="shared" si="3"/>
        <v>1996</v>
      </c>
      <c r="N7" s="11">
        <f t="shared" si="4"/>
        <v>1099</v>
      </c>
      <c r="O7" s="11">
        <f t="shared" si="7"/>
        <v>29</v>
      </c>
      <c r="P7" s="11">
        <f t="shared" ref="P7:Q22" si="11">AVERAGE(N4:N6)</f>
        <v>1031.3333333333333</v>
      </c>
      <c r="Q7" s="11"/>
      <c r="R7" s="11"/>
      <c r="S7" s="11"/>
      <c r="T7" s="11"/>
      <c r="W7" s="20">
        <f t="shared" si="8"/>
        <v>1996</v>
      </c>
      <c r="X7" s="19">
        <f t="shared" si="5"/>
        <v>1099</v>
      </c>
      <c r="Y7" s="11"/>
      <c r="Z7" s="11"/>
      <c r="AA7" s="11"/>
      <c r="AC7" s="20">
        <f t="shared" si="1"/>
        <v>1996</v>
      </c>
      <c r="AD7" s="19">
        <f t="shared" si="1"/>
        <v>1099</v>
      </c>
      <c r="AE7" s="11">
        <f t="shared" si="9"/>
        <v>29</v>
      </c>
      <c r="AF7" s="11">
        <f t="shared" ref="AF7:AG22" si="12">AVERAGE(AD5:AD6)</f>
        <v>1053.5</v>
      </c>
      <c r="AG7" s="11">
        <f t="shared" si="12"/>
        <v>41.5</v>
      </c>
      <c r="AH7" s="11">
        <f t="shared" ref="AH7:AH24" si="13">$R$2*AG7+AF7</f>
        <v>1136.5</v>
      </c>
      <c r="AI7" s="11"/>
      <c r="AJ7" s="11"/>
      <c r="AL7" s="20">
        <f t="shared" si="6"/>
        <v>1996</v>
      </c>
      <c r="AM7" s="19">
        <f t="shared" si="6"/>
        <v>1099</v>
      </c>
      <c r="AN7" s="11">
        <f t="shared" si="10"/>
        <v>29</v>
      </c>
      <c r="AO7" s="11"/>
      <c r="AP7" s="11"/>
      <c r="AQ7" s="11"/>
      <c r="AR7" s="11"/>
      <c r="AS7" s="11"/>
      <c r="AV7" s="10"/>
      <c r="AW7" s="25">
        <f>AX4-AX7*AW6</f>
        <v>953.55555555555543</v>
      </c>
      <c r="AX7" s="25">
        <f>AX5/AX6</f>
        <v>38.888888888888914</v>
      </c>
      <c r="AY7" s="10"/>
      <c r="AZ7" s="10"/>
      <c r="BA7" s="10"/>
      <c r="BC7" s="10"/>
      <c r="BD7" s="10"/>
      <c r="BE7" s="25">
        <f>BF4-BF7*BE6</f>
        <v>953.55555555555543</v>
      </c>
      <c r="BF7" s="25">
        <f>BF5/BF6</f>
        <v>38.888888888888914</v>
      </c>
      <c r="BG7" s="10"/>
      <c r="BH7" s="10"/>
      <c r="BI7" s="10"/>
      <c r="BL7" s="26"/>
      <c r="BM7" s="27" t="s">
        <v>35</v>
      </c>
      <c r="BN7" s="27" t="s">
        <v>36</v>
      </c>
      <c r="BO7" s="27" t="s">
        <v>22</v>
      </c>
      <c r="BP7" s="27" t="s">
        <v>37</v>
      </c>
      <c r="BQ7" s="28" t="s">
        <v>12</v>
      </c>
      <c r="BR7" s="27" t="s">
        <v>38</v>
      </c>
      <c r="BS7" s="27" t="s">
        <v>39</v>
      </c>
      <c r="BT7" s="27" t="s">
        <v>40</v>
      </c>
      <c r="BV7" t="str">
        <f>BM7</f>
        <v>Population</v>
      </c>
      <c r="BW7" t="str">
        <f>BP7</f>
        <v>2012 PCI</v>
      </c>
      <c r="CC7" s="21" t="str">
        <f>CI7</f>
        <v>Year</v>
      </c>
      <c r="CD7" s="21" t="str">
        <f t="shared" ref="CD7:CF25" si="14">CL7</f>
        <v>Adj Lag 1 LN 2012 PCI</v>
      </c>
      <c r="CE7" s="21" t="str">
        <f t="shared" si="14"/>
        <v>ADJ Lag 1 LN Pop</v>
      </c>
      <c r="CF7" s="21" t="str">
        <f t="shared" si="14"/>
        <v>Adj LN 2012 PIT</v>
      </c>
      <c r="CI7" s="21" t="s">
        <v>12</v>
      </c>
      <c r="CJ7" s="21" t="s">
        <v>41</v>
      </c>
      <c r="CK7" s="21" t="s">
        <v>42</v>
      </c>
      <c r="CL7" s="21" t="s">
        <v>43</v>
      </c>
      <c r="CM7" s="21" t="s">
        <v>44</v>
      </c>
      <c r="CN7" s="21" t="s">
        <v>45</v>
      </c>
      <c r="CO7" s="21" t="s">
        <v>46</v>
      </c>
      <c r="CP7" s="21" t="s">
        <v>47</v>
      </c>
      <c r="CQ7" s="21" t="s">
        <v>48</v>
      </c>
      <c r="CR7" s="21" t="s">
        <v>49</v>
      </c>
      <c r="CS7" s="21"/>
      <c r="CT7" s="21"/>
      <c r="CU7" s="21"/>
      <c r="DA7" s="21" t="str">
        <f>CK7</f>
        <v>W.VA PIT 2012 Dollars</v>
      </c>
      <c r="DB7" s="21" t="s">
        <v>50</v>
      </c>
      <c r="DK7" s="11">
        <f>AVERAGE(DK11:DK27)</f>
        <v>-10.53642404523498</v>
      </c>
      <c r="DL7" s="11">
        <f>AVERAGE(DL11:DL27)</f>
        <v>2111.1068160163027</v>
      </c>
      <c r="DM7" s="12" t="s">
        <v>27</v>
      </c>
      <c r="DN7" s="4"/>
      <c r="DO7" s="4" t="s">
        <v>51</v>
      </c>
      <c r="DP7" s="4" t="s">
        <v>52</v>
      </c>
      <c r="DQ7" s="4" t="s">
        <v>53</v>
      </c>
      <c r="DR7" s="29"/>
      <c r="DS7" s="4" t="s">
        <v>51</v>
      </c>
      <c r="DT7" s="4" t="s">
        <v>52</v>
      </c>
      <c r="DU7" s="4" t="s">
        <v>53</v>
      </c>
    </row>
    <row r="8" spans="1:125" ht="13.5" thickBot="1" x14ac:dyDescent="0.35">
      <c r="A8" s="8" t="s">
        <v>54</v>
      </c>
      <c r="B8" s="8">
        <v>8</v>
      </c>
      <c r="C8" s="1" t="s">
        <v>21</v>
      </c>
      <c r="E8" s="12" t="s">
        <v>25</v>
      </c>
      <c r="F8" s="12">
        <v>1997</v>
      </c>
      <c r="G8" s="16">
        <v>786190</v>
      </c>
      <c r="H8" s="17">
        <v>35431</v>
      </c>
      <c r="I8" s="18">
        <v>160.52500000000001</v>
      </c>
      <c r="J8" s="19">
        <f t="shared" si="0"/>
        <v>707583</v>
      </c>
      <c r="K8" s="19">
        <f t="shared" si="2"/>
        <v>1124512</v>
      </c>
      <c r="L8" s="19"/>
      <c r="M8" s="20">
        <f t="shared" si="3"/>
        <v>1997</v>
      </c>
      <c r="N8" s="11">
        <f t="shared" si="4"/>
        <v>1125</v>
      </c>
      <c r="O8" s="11">
        <f t="shared" si="7"/>
        <v>26</v>
      </c>
      <c r="P8" s="11">
        <f t="shared" si="11"/>
        <v>1068.6666666666667</v>
      </c>
      <c r="Q8" s="11">
        <f>AVERAGE(O5:O7)</f>
        <v>37.333333333333336</v>
      </c>
      <c r="R8" s="11">
        <f>$R$2*Q8+P8</f>
        <v>1143.3333333333335</v>
      </c>
      <c r="S8" s="11"/>
      <c r="T8" s="11"/>
      <c r="W8" s="20">
        <f t="shared" si="8"/>
        <v>1997</v>
      </c>
      <c r="X8" s="19">
        <f t="shared" si="5"/>
        <v>1125</v>
      </c>
      <c r="Y8" s="11">
        <f t="shared" ref="Y8:Y24" si="15">AVERAGE(X5:X7)</f>
        <v>1068.6666666666667</v>
      </c>
      <c r="Z8" s="11"/>
      <c r="AA8" s="11"/>
      <c r="AC8" s="20">
        <f t="shared" si="1"/>
        <v>1997</v>
      </c>
      <c r="AD8" s="19">
        <f t="shared" si="1"/>
        <v>1125</v>
      </c>
      <c r="AE8" s="11">
        <f t="shared" si="9"/>
        <v>26</v>
      </c>
      <c r="AF8" s="11">
        <f t="shared" si="12"/>
        <v>1084.5</v>
      </c>
      <c r="AG8" s="11">
        <f t="shared" si="12"/>
        <v>31</v>
      </c>
      <c r="AH8" s="11">
        <f t="shared" si="13"/>
        <v>1146.5</v>
      </c>
      <c r="AI8" s="11"/>
      <c r="AJ8" s="11"/>
      <c r="AL8" s="20">
        <f t="shared" si="6"/>
        <v>1997</v>
      </c>
      <c r="AM8" s="19">
        <f t="shared" si="6"/>
        <v>1125</v>
      </c>
      <c r="AN8" s="11">
        <f t="shared" si="10"/>
        <v>26</v>
      </c>
      <c r="AO8" s="11">
        <f>AVERAGE(AM4:AM7)</f>
        <v>1048.25</v>
      </c>
      <c r="AP8" s="11">
        <f>AVERAGE(AN3:AN7)</f>
        <v>37.333333333333336</v>
      </c>
      <c r="AQ8" s="11">
        <f>$R$2*AP8+AO8</f>
        <v>1122.9166666666667</v>
      </c>
      <c r="AR8" s="11"/>
      <c r="AS8" s="11"/>
      <c r="AU8" s="20">
        <f t="shared" ref="AU8:AV27" si="16">AL4</f>
        <v>1993</v>
      </c>
      <c r="AV8" s="11">
        <f t="shared" si="16"/>
        <v>987</v>
      </c>
      <c r="AW8" s="25">
        <f>AY8+$AW$2*AZ8</f>
        <v>988.90555555555557</v>
      </c>
      <c r="AX8" s="25">
        <f>AX7+AX$2*AW$2*AZ8</f>
        <v>38.853500000000025</v>
      </c>
      <c r="AY8" s="25">
        <f>AW7+AX7</f>
        <v>992.44444444444434</v>
      </c>
      <c r="AZ8" s="11">
        <f>AV8-AY8</f>
        <v>-5.4444444444443434</v>
      </c>
      <c r="BA8" s="11">
        <f t="shared" ref="BA8:BA27" si="17">AZ8^2</f>
        <v>29.641975308640873</v>
      </c>
      <c r="BC8" s="20">
        <f>AU8</f>
        <v>1993</v>
      </c>
      <c r="BD8" s="11">
        <f>AV8</f>
        <v>987</v>
      </c>
      <c r="BE8" s="25">
        <f>BG8+$AW$2*BH8</f>
        <v>988.90555555555557</v>
      </c>
      <c r="BF8" s="25">
        <f>BF7*$BG$3+BF$2*BH8</f>
        <v>38.84455555555558</v>
      </c>
      <c r="BG8" s="25">
        <f>BE7+BF7</f>
        <v>992.44444444444434</v>
      </c>
      <c r="BH8" s="11">
        <f>BD8-BG8</f>
        <v>-5.4444444444443434</v>
      </c>
      <c r="BI8" s="11">
        <f t="shared" ref="BI8:BI27" si="18">BH8^2</f>
        <v>29.641975308640873</v>
      </c>
      <c r="BL8">
        <v>1993</v>
      </c>
      <c r="BM8" s="26">
        <v>1817539</v>
      </c>
      <c r="BN8" s="30">
        <v>16549</v>
      </c>
      <c r="BO8" s="18">
        <f t="shared" ref="BO8:BO27" si="19">I4</f>
        <v>144.47499999999999</v>
      </c>
      <c r="BP8" s="26">
        <f>$BN8*BO$27/BO8</f>
        <v>26300.166783180484</v>
      </c>
      <c r="BQ8" s="10">
        <v>1994</v>
      </c>
      <c r="BR8" s="31">
        <f>LN(BP8)</f>
        <v>10.177330559711546</v>
      </c>
      <c r="BS8" s="31">
        <f>LN(BM8)</f>
        <v>14.412993946206358</v>
      </c>
      <c r="BT8" s="32">
        <f t="shared" ref="BT8:BT26" si="20">LN(K5)</f>
        <v>13.852201149981878</v>
      </c>
      <c r="BV8" s="19">
        <f>BM8</f>
        <v>1817539</v>
      </c>
      <c r="BW8" s="19">
        <f>BP8</f>
        <v>26300.166783180484</v>
      </c>
      <c r="CC8" s="21">
        <f t="shared" ref="CC8:CC26" si="21">CI8</f>
        <v>1995</v>
      </c>
      <c r="CD8" s="33">
        <f t="shared" si="14"/>
        <v>5.988022083516098</v>
      </c>
      <c r="CE8" s="33">
        <f t="shared" si="14"/>
        <v>8.4577160529208975</v>
      </c>
      <c r="CF8" s="33">
        <f t="shared" si="14"/>
        <v>8.1577833024288484</v>
      </c>
      <c r="CI8" s="10">
        <f t="shared" ref="CI8:CI26" si="22">BQ9</f>
        <v>1995</v>
      </c>
      <c r="CJ8" s="11">
        <f>G6</f>
        <v>709923</v>
      </c>
      <c r="CK8" s="11">
        <f t="shared" ref="CK8:CK25" si="23">K6</f>
        <v>1069681</v>
      </c>
      <c r="CL8" s="31">
        <f>BR9-BR8*$BU$51</f>
        <v>5.988022083516098</v>
      </c>
      <c r="CM8" s="31">
        <f>BS9-BS8*$BU$51</f>
        <v>8.4577160529208975</v>
      </c>
      <c r="CN8" s="31">
        <f>BT9-BT8*$BU$51</f>
        <v>8.1577833024288484</v>
      </c>
      <c r="CO8" s="25">
        <f>$CC$44+$CC$45*CL8+$CC$46*CM8</f>
        <v>8.1808224008396753</v>
      </c>
      <c r="CP8" s="25">
        <f>CO8/(1-$BU$51)</f>
        <v>13.943745041408517</v>
      </c>
      <c r="CQ8" s="34">
        <f>EXP(CP8)</f>
        <v>1136819.5368073946</v>
      </c>
      <c r="CR8" s="11">
        <f>CQ8*I6/I$23</f>
        <v>754481.50501437776</v>
      </c>
      <c r="CS8" s="11"/>
      <c r="CT8" s="31">
        <f>(CL8-AVERAGE(CL$8:CL$25))^2</f>
        <v>5.6110540075862249E-3</v>
      </c>
      <c r="CU8" s="31">
        <f>(CM8-AVERAGE(CM$8:CM$25))^2</f>
        <v>2.5031099554518841E-6</v>
      </c>
      <c r="CX8" s="25"/>
      <c r="CZ8">
        <f t="shared" ref="CZ8:CZ26" si="24">CI8</f>
        <v>1995</v>
      </c>
      <c r="DA8" s="19">
        <f t="shared" ref="DA8:DA25" si="25">CK8/$DA$6</f>
        <v>1069.681</v>
      </c>
      <c r="DB8" s="19">
        <f t="shared" ref="DB8:DB26" si="26">CQ8/$DA$6</f>
        <v>1136.8195368073946</v>
      </c>
      <c r="DC8" s="19">
        <f>DA8-DB8</f>
        <v>-67.13853680739453</v>
      </c>
      <c r="DD8" s="35">
        <f>DC8^2</f>
        <v>4507.5831246378702</v>
      </c>
      <c r="DG8" s="19"/>
      <c r="DH8" s="19"/>
      <c r="DI8" s="19"/>
      <c r="DJ8" s="19"/>
      <c r="DK8" s="10"/>
      <c r="DL8" s="11">
        <f>SQRT(DL7)</f>
        <v>45.946782433771169</v>
      </c>
      <c r="DM8" s="12" t="s">
        <v>23</v>
      </c>
      <c r="DR8" s="36"/>
    </row>
    <row r="9" spans="1:125" ht="13" x14ac:dyDescent="0.3">
      <c r="A9" s="8" t="s">
        <v>55</v>
      </c>
      <c r="B9" s="8">
        <v>9</v>
      </c>
      <c r="C9" s="1" t="s">
        <v>21</v>
      </c>
      <c r="E9" s="12" t="s">
        <v>25</v>
      </c>
      <c r="F9" s="12">
        <v>1998</v>
      </c>
      <c r="G9" s="16">
        <v>866107</v>
      </c>
      <c r="H9" s="17">
        <v>35796</v>
      </c>
      <c r="I9" s="18">
        <v>163.00800000000001</v>
      </c>
      <c r="J9" s="19">
        <f t="shared" si="0"/>
        <v>767636</v>
      </c>
      <c r="K9" s="19">
        <f t="shared" si="2"/>
        <v>1219950</v>
      </c>
      <c r="L9" s="19"/>
      <c r="M9" s="20">
        <f t="shared" si="3"/>
        <v>1998</v>
      </c>
      <c r="N9" s="11">
        <f t="shared" si="4"/>
        <v>1220</v>
      </c>
      <c r="O9" s="11">
        <f t="shared" si="7"/>
        <v>95</v>
      </c>
      <c r="P9" s="11">
        <f t="shared" si="11"/>
        <v>1098</v>
      </c>
      <c r="Q9" s="11">
        <f t="shared" si="11"/>
        <v>29.333333333333332</v>
      </c>
      <c r="R9" s="11">
        <f t="shared" ref="R9:R24" si="27">$R$2*Q9+P9</f>
        <v>1156.6666666666667</v>
      </c>
      <c r="S9" s="11">
        <f t="shared" ref="S9:S23" si="28">N9-R9</f>
        <v>63.333333333333258</v>
      </c>
      <c r="T9" s="11">
        <f>S9^2</f>
        <v>4011.1111111111013</v>
      </c>
      <c r="W9" s="20">
        <f t="shared" si="8"/>
        <v>1998</v>
      </c>
      <c r="X9" s="19">
        <f t="shared" si="5"/>
        <v>1220</v>
      </c>
      <c r="Y9" s="11">
        <f t="shared" si="15"/>
        <v>1098</v>
      </c>
      <c r="Z9" s="11">
        <f t="shared" ref="Z9:Z23" si="29">X9-Y9</f>
        <v>122</v>
      </c>
      <c r="AA9" s="11">
        <f>Z9^2</f>
        <v>14884</v>
      </c>
      <c r="AC9" s="20">
        <f t="shared" si="1"/>
        <v>1998</v>
      </c>
      <c r="AD9" s="19">
        <f t="shared" si="1"/>
        <v>1220</v>
      </c>
      <c r="AE9" s="11">
        <f t="shared" si="9"/>
        <v>95</v>
      </c>
      <c r="AF9" s="11">
        <f t="shared" si="12"/>
        <v>1112</v>
      </c>
      <c r="AG9" s="11">
        <f t="shared" si="12"/>
        <v>27.5</v>
      </c>
      <c r="AH9" s="11">
        <f t="shared" si="13"/>
        <v>1167</v>
      </c>
      <c r="AI9" s="11">
        <f t="shared" ref="AI9:AI23" si="30">AD9-AH9</f>
        <v>53</v>
      </c>
      <c r="AJ9" s="11">
        <f>AI9^2</f>
        <v>2809</v>
      </c>
      <c r="AL9" s="20">
        <f t="shared" si="6"/>
        <v>1998</v>
      </c>
      <c r="AM9" s="19">
        <f t="shared" si="6"/>
        <v>1220</v>
      </c>
      <c r="AN9" s="11">
        <f t="shared" si="10"/>
        <v>95</v>
      </c>
      <c r="AO9" s="11">
        <f t="shared" ref="AO9:AP24" si="31">AVERAGE(AM7:AM8)</f>
        <v>1112</v>
      </c>
      <c r="AP9" s="11">
        <f>AVERAGE(AN4:AN8)</f>
        <v>34.5</v>
      </c>
      <c r="AQ9" s="11">
        <f t="shared" ref="AQ9:AQ24" si="32">$R$2*AP9+AO9</f>
        <v>1181</v>
      </c>
      <c r="AR9" s="11">
        <f t="shared" ref="AR9:AR23" si="33">AM9-AQ9</f>
        <v>39</v>
      </c>
      <c r="AS9" s="11">
        <f t="shared" ref="AS9:AS23" si="34">AR9^2</f>
        <v>1521</v>
      </c>
      <c r="AU9" s="20">
        <f t="shared" si="16"/>
        <v>1994</v>
      </c>
      <c r="AV9" s="11">
        <f t="shared" si="16"/>
        <v>1037</v>
      </c>
      <c r="AW9" s="25">
        <f t="shared" ref="AW9:AW27" si="35">AY9+$AW$2*AZ9</f>
        <v>1033.7656694444445</v>
      </c>
      <c r="AX9" s="25">
        <f t="shared" ref="AX9:AX28" si="36">AX8+AX$2*AW$2*AZ9</f>
        <v>38.913566138888918</v>
      </c>
      <c r="AY9" s="25">
        <f t="shared" ref="AY9:AY28" si="37">AW8+AX8</f>
        <v>1027.7590555555555</v>
      </c>
      <c r="AZ9" s="11">
        <f>AV9-AY9</f>
        <v>9.2409444444444944</v>
      </c>
      <c r="BA9" s="11">
        <f t="shared" si="17"/>
        <v>85.395054225309565</v>
      </c>
      <c r="BC9" s="20">
        <f t="shared" ref="BC9:BD28" si="38">AU9</f>
        <v>1994</v>
      </c>
      <c r="BD9" s="11">
        <f t="shared" si="38"/>
        <v>1037</v>
      </c>
      <c r="BE9" s="25">
        <f t="shared" ref="BE9:BE27" si="39">BG9+$AW$2*BH9</f>
        <v>1033.7625388888889</v>
      </c>
      <c r="BF9" s="25">
        <f t="shared" ref="BF9:BF28" si="40">BF8*$BG$3+BF$2*BH9</f>
        <v>38.814960888888912</v>
      </c>
      <c r="BG9" s="25">
        <f t="shared" ref="BG9:BG28" si="41">BE8+BF8</f>
        <v>1027.7501111111112</v>
      </c>
      <c r="BH9" s="11">
        <f>BD9-BG9</f>
        <v>9.2498888888887905</v>
      </c>
      <c r="BI9" s="11">
        <f t="shared" si="18"/>
        <v>85.560444456788304</v>
      </c>
      <c r="BL9">
        <v>1994</v>
      </c>
      <c r="BM9" s="26">
        <v>1820421</v>
      </c>
      <c r="BN9" s="30">
        <v>17269</v>
      </c>
      <c r="BO9" s="18">
        <f t="shared" si="19"/>
        <v>148.22499999999999</v>
      </c>
      <c r="BP9" s="26">
        <f t="shared" ref="BP9:BP27" si="42">$BN9*BO$27/BO9</f>
        <v>26750.085855962221</v>
      </c>
      <c r="BQ9" s="10">
        <v>1995</v>
      </c>
      <c r="BR9" s="31">
        <f>LN(BP9)</f>
        <v>10.194292961887683</v>
      </c>
      <c r="BS9" s="31">
        <f t="shared" ref="BS9:BS27" si="43">LN(BM9)</f>
        <v>14.414578350984256</v>
      </c>
      <c r="BT9" s="32">
        <f t="shared" si="20"/>
        <v>13.882871031147133</v>
      </c>
      <c r="BV9" s="19">
        <f t="shared" ref="BV9:BV27" si="44">BM9</f>
        <v>1820421</v>
      </c>
      <c r="BW9" s="19">
        <f t="shared" ref="BW9:BW27" si="45">BP9</f>
        <v>26750.085855962221</v>
      </c>
      <c r="BY9" s="37"/>
      <c r="BZ9" s="37" t="s">
        <v>35</v>
      </c>
      <c r="CA9" s="37" t="s">
        <v>36</v>
      </c>
      <c r="CC9" s="21">
        <f t="shared" si="21"/>
        <v>1996</v>
      </c>
      <c r="CD9" s="33">
        <f t="shared" si="14"/>
        <v>5.9845859279856084</v>
      </c>
      <c r="CE9" s="33">
        <f t="shared" si="14"/>
        <v>8.458860832935855</v>
      </c>
      <c r="CF9" s="33">
        <f t="shared" si="14"/>
        <v>8.1722650751240025</v>
      </c>
      <c r="CI9" s="10">
        <f t="shared" si="22"/>
        <v>1996</v>
      </c>
      <c r="CJ9" s="11">
        <f t="shared" ref="CJ9:CJ25" si="46">G7</f>
        <v>750889</v>
      </c>
      <c r="CK9" s="11">
        <f t="shared" si="23"/>
        <v>1099129</v>
      </c>
      <c r="CL9" s="31">
        <f>BR10-BR9*$BU$51</f>
        <v>5.9845859279856084</v>
      </c>
      <c r="CM9" s="31">
        <f>BS10-BS9*$BU$51</f>
        <v>8.458860832935855</v>
      </c>
      <c r="CN9" s="31">
        <f>BT10-BT9*$BU$51</f>
        <v>8.1722650751240025</v>
      </c>
      <c r="CO9" s="25">
        <f>$CC$44+$CC$45*CL9+$CC$46*CM9</f>
        <v>8.1779388788417418</v>
      </c>
      <c r="CP9" s="25">
        <f>CO9/(1-BU$51)</f>
        <v>13.938830242676747</v>
      </c>
      <c r="CQ9" s="34">
        <f t="shared" ref="CQ9:CQ26" si="47">EXP(CP9)</f>
        <v>1131246.0052018403</v>
      </c>
      <c r="CR9" s="11">
        <f t="shared" ref="CR9:CR25" si="48">CQ9*I7/I$23</f>
        <v>772830.55122711381</v>
      </c>
      <c r="CS9" s="11"/>
      <c r="CT9" s="31">
        <f t="shared" ref="CT9:CU25" si="49">(CL9-AVERAGE(CL$8:CL$25))^2</f>
        <v>6.1376451641483908E-3</v>
      </c>
      <c r="CU9" s="31">
        <f t="shared" si="49"/>
        <v>7.4359944829553877E-6</v>
      </c>
      <c r="CX9" s="25"/>
      <c r="CZ9">
        <f t="shared" si="24"/>
        <v>1996</v>
      </c>
      <c r="DA9" s="19">
        <f t="shared" si="25"/>
        <v>1099.1289999999999</v>
      </c>
      <c r="DB9" s="19">
        <f t="shared" si="26"/>
        <v>1131.2460052018403</v>
      </c>
      <c r="DC9" s="19">
        <f t="shared" ref="DC9:DC25" si="50">DA9-DB9</f>
        <v>-32.117005201840357</v>
      </c>
      <c r="DD9" s="35">
        <f t="shared" ref="DD9:DD25" si="51">DC9^2</f>
        <v>1031.5020231350404</v>
      </c>
      <c r="DF9">
        <f t="shared" ref="DF9:DH26" si="52">CZ9</f>
        <v>1996</v>
      </c>
      <c r="DG9" s="11">
        <f t="shared" si="52"/>
        <v>1099.1289999999999</v>
      </c>
      <c r="DH9" s="11">
        <f>DB9</f>
        <v>1131.2460052018403</v>
      </c>
      <c r="DI9" s="11">
        <f>AY11</f>
        <v>1109.833883561764</v>
      </c>
      <c r="DJ9" s="11">
        <f>AVERAGE(DH9:DI9)</f>
        <v>1120.5399443818021</v>
      </c>
      <c r="DK9" s="11">
        <f t="shared" ref="DK9:DK25" si="53">DG9-DJ9</f>
        <v>-21.41094438180221</v>
      </c>
      <c r="DL9" s="25">
        <f t="shared" ref="DL9:DL25" si="54">DK9^2</f>
        <v>458.42853932062764</v>
      </c>
      <c r="DN9" s="19"/>
      <c r="DO9" s="19">
        <f>ABS(AZ9)</f>
        <v>9.2409444444444944</v>
      </c>
      <c r="DP9" s="19">
        <f>ABS(DC9)</f>
        <v>32.117005201840357</v>
      </c>
      <c r="DQ9" s="19">
        <f>ABS(DK9)</f>
        <v>21.41094438180221</v>
      </c>
      <c r="DR9" s="38">
        <f>MAX(DN9:DQ9)</f>
        <v>32.117005201840357</v>
      </c>
    </row>
    <row r="10" spans="1:125" ht="13" x14ac:dyDescent="0.3">
      <c r="A10" s="8" t="s">
        <v>56</v>
      </c>
      <c r="B10" s="8">
        <v>10</v>
      </c>
      <c r="C10" s="1" t="s">
        <v>21</v>
      </c>
      <c r="E10" s="12" t="s">
        <v>25</v>
      </c>
      <c r="F10" s="12">
        <v>1999</v>
      </c>
      <c r="G10" s="16">
        <v>919879</v>
      </c>
      <c r="H10" s="17">
        <v>36161</v>
      </c>
      <c r="I10" s="18">
        <v>166.583</v>
      </c>
      <c r="J10" s="19">
        <f t="shared" si="0"/>
        <v>797798</v>
      </c>
      <c r="K10" s="19">
        <f t="shared" si="2"/>
        <v>1267884</v>
      </c>
      <c r="L10" s="19"/>
      <c r="M10" s="20">
        <f t="shared" si="3"/>
        <v>1999</v>
      </c>
      <c r="N10" s="11">
        <f t="shared" si="4"/>
        <v>1268</v>
      </c>
      <c r="O10" s="11">
        <f t="shared" si="7"/>
        <v>48</v>
      </c>
      <c r="P10" s="11">
        <f t="shared" si="11"/>
        <v>1148</v>
      </c>
      <c r="Q10" s="11">
        <f t="shared" si="11"/>
        <v>50</v>
      </c>
      <c r="R10" s="11">
        <f t="shared" si="27"/>
        <v>1248</v>
      </c>
      <c r="S10" s="11">
        <f t="shared" si="28"/>
        <v>20</v>
      </c>
      <c r="T10" s="11">
        <f>S10^2</f>
        <v>400</v>
      </c>
      <c r="W10" s="20">
        <f t="shared" si="8"/>
        <v>1999</v>
      </c>
      <c r="X10" s="19">
        <f t="shared" si="5"/>
        <v>1268</v>
      </c>
      <c r="Y10" s="11">
        <f t="shared" si="15"/>
        <v>1148</v>
      </c>
      <c r="Z10" s="11">
        <f t="shared" si="29"/>
        <v>120</v>
      </c>
      <c r="AA10" s="11">
        <f>Z10^2</f>
        <v>14400</v>
      </c>
      <c r="AC10" s="20">
        <f t="shared" si="1"/>
        <v>1999</v>
      </c>
      <c r="AD10" s="19">
        <f t="shared" si="1"/>
        <v>1268</v>
      </c>
      <c r="AE10" s="11">
        <f t="shared" si="9"/>
        <v>48</v>
      </c>
      <c r="AF10" s="11">
        <f t="shared" si="12"/>
        <v>1172.5</v>
      </c>
      <c r="AG10" s="11">
        <f t="shared" si="12"/>
        <v>60.5</v>
      </c>
      <c r="AH10" s="11">
        <f t="shared" si="13"/>
        <v>1293.5</v>
      </c>
      <c r="AI10" s="11">
        <f t="shared" si="30"/>
        <v>-25.5</v>
      </c>
      <c r="AJ10" s="11">
        <f>AI10^2</f>
        <v>650.25</v>
      </c>
      <c r="AL10" s="20">
        <f t="shared" si="6"/>
        <v>1999</v>
      </c>
      <c r="AM10" s="19">
        <f t="shared" si="6"/>
        <v>1268</v>
      </c>
      <c r="AN10" s="11">
        <f t="shared" si="10"/>
        <v>48</v>
      </c>
      <c r="AO10" s="11">
        <f t="shared" si="31"/>
        <v>1172.5</v>
      </c>
      <c r="AP10" s="11">
        <f t="shared" si="31"/>
        <v>60.5</v>
      </c>
      <c r="AQ10" s="11">
        <f t="shared" si="32"/>
        <v>1293.5</v>
      </c>
      <c r="AR10" s="11">
        <f t="shared" si="33"/>
        <v>-25.5</v>
      </c>
      <c r="AS10" s="11">
        <f t="shared" si="34"/>
        <v>650.25</v>
      </c>
      <c r="AU10" s="20">
        <f t="shared" si="16"/>
        <v>1995</v>
      </c>
      <c r="AV10" s="11">
        <f t="shared" si="16"/>
        <v>1070</v>
      </c>
      <c r="AW10" s="25">
        <f t="shared" si="35"/>
        <v>1070.9377324541667</v>
      </c>
      <c r="AX10" s="25">
        <f t="shared" si="36"/>
        <v>38.896151107597248</v>
      </c>
      <c r="AY10" s="25">
        <f t="shared" si="37"/>
        <v>1072.6792355833334</v>
      </c>
      <c r="AZ10" s="11">
        <f>AV10-AY10</f>
        <v>-2.6792355833333659</v>
      </c>
      <c r="BA10" s="11">
        <f t="shared" si="17"/>
        <v>7.1783033109996817</v>
      </c>
      <c r="BC10" s="20">
        <f t="shared" si="38"/>
        <v>1995</v>
      </c>
      <c r="BD10" s="11">
        <f t="shared" si="38"/>
        <v>1070</v>
      </c>
      <c r="BE10" s="25">
        <f t="shared" si="39"/>
        <v>1070.9021249222221</v>
      </c>
      <c r="BF10" s="25">
        <f t="shared" si="40"/>
        <v>38.773568428222241</v>
      </c>
      <c r="BG10" s="25">
        <f t="shared" si="41"/>
        <v>1072.5774997777778</v>
      </c>
      <c r="BH10" s="11">
        <f>BD10-BG10</f>
        <v>-2.5774997777778026</v>
      </c>
      <c r="BI10" s="11">
        <f t="shared" si="18"/>
        <v>6.6435051044446221</v>
      </c>
      <c r="BL10">
        <v>1995</v>
      </c>
      <c r="BM10" s="26">
        <v>1823700</v>
      </c>
      <c r="BN10" s="30">
        <v>17817</v>
      </c>
      <c r="BO10" s="18">
        <f t="shared" si="19"/>
        <v>152.38300000000001</v>
      </c>
      <c r="BP10" s="26">
        <f t="shared" si="42"/>
        <v>26845.871704848967</v>
      </c>
      <c r="BQ10" s="10">
        <v>1996</v>
      </c>
      <c r="BR10" s="31">
        <f>LN(BP10)</f>
        <v>10.197867334106302</v>
      </c>
      <c r="BS10" s="31">
        <f t="shared" si="43"/>
        <v>14.416377962404924</v>
      </c>
      <c r="BT10" s="32">
        <f t="shared" si="20"/>
        <v>13.910028605933181</v>
      </c>
      <c r="BV10" s="19">
        <f t="shared" si="44"/>
        <v>1823700</v>
      </c>
      <c r="BW10" s="19">
        <f t="shared" si="45"/>
        <v>26845.871704848967</v>
      </c>
      <c r="BY10" t="s">
        <v>35</v>
      </c>
      <c r="BZ10">
        <v>1</v>
      </c>
      <c r="CC10" s="21">
        <f t="shared" si="21"/>
        <v>1997</v>
      </c>
      <c r="CD10" s="33">
        <f t="shared" si="14"/>
        <v>5.9953975516338369</v>
      </c>
      <c r="CE10" s="33">
        <f t="shared" si="14"/>
        <v>8.4576278218538796</v>
      </c>
      <c r="CF10" s="33">
        <f t="shared" si="14"/>
        <v>8.1838720182128597</v>
      </c>
      <c r="CI10" s="10">
        <f t="shared" si="22"/>
        <v>1997</v>
      </c>
      <c r="CJ10" s="11">
        <f t="shared" si="46"/>
        <v>786190</v>
      </c>
      <c r="CK10" s="11">
        <f t="shared" si="23"/>
        <v>1124512</v>
      </c>
      <c r="CL10" s="31">
        <f>BR11-BR10*$BU$51</f>
        <v>5.9953975516338369</v>
      </c>
      <c r="CM10" s="31">
        <f>BS11-BS10*$BU$51</f>
        <v>8.4576278218538796</v>
      </c>
      <c r="CN10" s="31">
        <f>BT11-BT10*$BU$51</f>
        <v>8.1838720182128597</v>
      </c>
      <c r="CO10" s="25">
        <f>$CC$44+$CC$45*CL10+$CC$46*CM10</f>
        <v>8.193213003194364</v>
      </c>
      <c r="CP10" s="25">
        <f>CO10/(1-BU$51)</f>
        <v>13.9648641162005</v>
      </c>
      <c r="CQ10" s="34">
        <f t="shared" si="47"/>
        <v>1161083.4272565863</v>
      </c>
      <c r="CR10" s="11">
        <f t="shared" si="48"/>
        <v>811758.14515584882</v>
      </c>
      <c r="CS10" s="11"/>
      <c r="CT10" s="31">
        <f t="shared" si="49"/>
        <v>4.560503613952503E-3</v>
      </c>
      <c r="CU10" s="31">
        <f t="shared" si="49"/>
        <v>2.2317100559747468E-6</v>
      </c>
      <c r="CX10" s="25"/>
      <c r="CZ10">
        <f t="shared" si="24"/>
        <v>1997</v>
      </c>
      <c r="DA10" s="19">
        <f t="shared" si="25"/>
        <v>1124.5119999999999</v>
      </c>
      <c r="DB10" s="19">
        <f t="shared" si="26"/>
        <v>1161.0834272565862</v>
      </c>
      <c r="DC10" s="19">
        <f t="shared" si="50"/>
        <v>-36.571427256586276</v>
      </c>
      <c r="DD10" s="35">
        <f t="shared" si="51"/>
        <v>1337.4692915837816</v>
      </c>
      <c r="DF10">
        <f t="shared" si="52"/>
        <v>1997</v>
      </c>
      <c r="DG10" s="11">
        <f t="shared" si="52"/>
        <v>1124.5119999999999</v>
      </c>
      <c r="DH10" s="11">
        <f t="shared" si="52"/>
        <v>1161.0834272565862</v>
      </c>
      <c r="DI10" s="11">
        <f t="shared" ref="DI10:DI25" si="55">AY12</f>
        <v>1141.6175901110632</v>
      </c>
      <c r="DJ10" s="11">
        <f t="shared" ref="DJ10:DJ26" si="56">AVERAGE(DH10:DI10)</f>
        <v>1151.3505086838247</v>
      </c>
      <c r="DK10" s="11">
        <f t="shared" si="53"/>
        <v>-26.838508683824784</v>
      </c>
      <c r="DL10" s="25">
        <f t="shared" si="54"/>
        <v>720.30554837173838</v>
      </c>
      <c r="DN10" s="19"/>
      <c r="DO10" s="19">
        <f t="shared" ref="DO10:DO25" si="57">ABS(AZ10)</f>
        <v>2.6792355833333659</v>
      </c>
      <c r="DP10" s="19">
        <f t="shared" ref="DP10:DP25" si="58">ABS(DC10)</f>
        <v>36.571427256586276</v>
      </c>
      <c r="DQ10" s="19">
        <f t="shared" ref="DQ10:DQ25" si="59">ABS(DK10)</f>
        <v>26.838508683824784</v>
      </c>
      <c r="DR10" s="38">
        <f t="shared" ref="DR10:DR25" si="60">MAX(DN10:DQ10)</f>
        <v>36.571427256586276</v>
      </c>
    </row>
    <row r="11" spans="1:125" ht="13.5" thickBot="1" x14ac:dyDescent="0.35">
      <c r="A11" s="8" t="s">
        <v>57</v>
      </c>
      <c r="B11" s="8">
        <v>11</v>
      </c>
      <c r="C11" s="1" t="s">
        <v>21</v>
      </c>
      <c r="E11" s="12" t="s">
        <v>25</v>
      </c>
      <c r="F11" s="12">
        <v>2000</v>
      </c>
      <c r="G11" s="16">
        <v>965721</v>
      </c>
      <c r="H11" s="17">
        <v>36526</v>
      </c>
      <c r="I11" s="18">
        <v>172.19200000000001</v>
      </c>
      <c r="J11" s="19">
        <f t="shared" si="0"/>
        <v>810273</v>
      </c>
      <c r="K11" s="19">
        <f t="shared" si="2"/>
        <v>1287710</v>
      </c>
      <c r="L11" s="19"/>
      <c r="M11" s="20">
        <f t="shared" si="3"/>
        <v>2000</v>
      </c>
      <c r="N11" s="11">
        <f t="shared" si="4"/>
        <v>1288</v>
      </c>
      <c r="O11" s="11">
        <f t="shared" si="7"/>
        <v>20</v>
      </c>
      <c r="P11" s="11">
        <f t="shared" si="11"/>
        <v>1204.3333333333333</v>
      </c>
      <c r="Q11" s="11">
        <f t="shared" si="11"/>
        <v>56.333333333333336</v>
      </c>
      <c r="R11" s="11">
        <f t="shared" si="27"/>
        <v>1317</v>
      </c>
      <c r="S11" s="11">
        <f t="shared" si="28"/>
        <v>-29</v>
      </c>
      <c r="T11" s="11">
        <f t="shared" ref="T11:T23" si="61">S11^2</f>
        <v>841</v>
      </c>
      <c r="W11" s="20">
        <f t="shared" si="8"/>
        <v>2000</v>
      </c>
      <c r="X11" s="19">
        <f t="shared" si="5"/>
        <v>1288</v>
      </c>
      <c r="Y11" s="11">
        <f t="shared" si="15"/>
        <v>1204.3333333333333</v>
      </c>
      <c r="Z11" s="11">
        <f t="shared" si="29"/>
        <v>83.666666666666742</v>
      </c>
      <c r="AA11" s="11">
        <f>Z11^2</f>
        <v>7000.111111111124</v>
      </c>
      <c r="AC11" s="20">
        <f t="shared" si="1"/>
        <v>2000</v>
      </c>
      <c r="AD11" s="19">
        <f t="shared" si="1"/>
        <v>1288</v>
      </c>
      <c r="AE11" s="11">
        <f t="shared" si="9"/>
        <v>20</v>
      </c>
      <c r="AF11" s="11">
        <f t="shared" si="12"/>
        <v>1244</v>
      </c>
      <c r="AG11" s="11">
        <f t="shared" si="12"/>
        <v>71.5</v>
      </c>
      <c r="AH11" s="11">
        <f t="shared" si="13"/>
        <v>1387</v>
      </c>
      <c r="AI11" s="11">
        <f t="shared" si="30"/>
        <v>-99</v>
      </c>
      <c r="AJ11" s="11">
        <f>AI11^2</f>
        <v>9801</v>
      </c>
      <c r="AL11" s="20">
        <f t="shared" si="6"/>
        <v>2000</v>
      </c>
      <c r="AM11" s="19">
        <f t="shared" si="6"/>
        <v>1288</v>
      </c>
      <c r="AN11" s="11">
        <f t="shared" si="10"/>
        <v>20</v>
      </c>
      <c r="AO11" s="11">
        <f t="shared" si="31"/>
        <v>1244</v>
      </c>
      <c r="AP11" s="11">
        <f t="shared" si="31"/>
        <v>71.5</v>
      </c>
      <c r="AQ11" s="11">
        <f t="shared" si="32"/>
        <v>1387</v>
      </c>
      <c r="AR11" s="11">
        <f t="shared" si="33"/>
        <v>-99</v>
      </c>
      <c r="AS11" s="11">
        <f t="shared" si="34"/>
        <v>9801</v>
      </c>
      <c r="AU11" s="20">
        <f t="shared" si="16"/>
        <v>1996</v>
      </c>
      <c r="AV11" s="11">
        <f t="shared" si="16"/>
        <v>1099</v>
      </c>
      <c r="AW11" s="25">
        <f t="shared" si="35"/>
        <v>1102.7918592466174</v>
      </c>
      <c r="AX11" s="25">
        <f t="shared" si="36"/>
        <v>38.825730864445781</v>
      </c>
      <c r="AY11" s="25">
        <f t="shared" si="37"/>
        <v>1109.833883561764</v>
      </c>
      <c r="AZ11" s="11">
        <f>AV11-AY11</f>
        <v>-10.833883561763969</v>
      </c>
      <c r="BA11" s="11">
        <f t="shared" si="17"/>
        <v>117.37303302985954</v>
      </c>
      <c r="BC11" s="20">
        <f t="shared" si="38"/>
        <v>1996</v>
      </c>
      <c r="BD11" s="11">
        <f t="shared" si="38"/>
        <v>1099</v>
      </c>
      <c r="BE11" s="25">
        <f t="shared" si="39"/>
        <v>1102.7364926726555</v>
      </c>
      <c r="BF11" s="25">
        <f t="shared" si="40"/>
        <v>38.724119166443579</v>
      </c>
      <c r="BG11" s="25">
        <f t="shared" si="41"/>
        <v>1109.6756933504444</v>
      </c>
      <c r="BH11" s="11">
        <f>BD11-BG11</f>
        <v>-10.675693350444362</v>
      </c>
      <c r="BI11" s="11">
        <f t="shared" si="18"/>
        <v>113.97042851272198</v>
      </c>
      <c r="BL11">
        <v>1996</v>
      </c>
      <c r="BM11" s="26">
        <v>1822808</v>
      </c>
      <c r="BN11" s="30">
        <v>18567</v>
      </c>
      <c r="BO11" s="18">
        <f t="shared" si="19"/>
        <v>156.858</v>
      </c>
      <c r="BP11" s="26">
        <f t="shared" si="42"/>
        <v>27177.813487357995</v>
      </c>
      <c r="BQ11" s="10">
        <v>1997</v>
      </c>
      <c r="BR11" s="31">
        <f t="shared" ref="BR11:BR27" si="62">LN(BP11)</f>
        <v>10.210156238823808</v>
      </c>
      <c r="BS11" s="31">
        <f t="shared" si="43"/>
        <v>14.415888727214549</v>
      </c>
      <c r="BT11" s="32">
        <f t="shared" si="20"/>
        <v>13.932859721734083</v>
      </c>
      <c r="BV11" s="19">
        <f t="shared" si="44"/>
        <v>1822808</v>
      </c>
      <c r="BW11" s="19">
        <f t="shared" si="45"/>
        <v>27177.813487357995</v>
      </c>
      <c r="BY11" s="39" t="s">
        <v>36</v>
      </c>
      <c r="BZ11" s="39">
        <v>0.43810631434338587</v>
      </c>
      <c r="CA11" s="39">
        <v>1</v>
      </c>
      <c r="CC11" s="21">
        <f t="shared" si="21"/>
        <v>1998</v>
      </c>
      <c r="CD11" s="33">
        <f t="shared" si="14"/>
        <v>6.0097043477522929</v>
      </c>
      <c r="CE11" s="33">
        <f t="shared" si="14"/>
        <v>8.4558008722055344</v>
      </c>
      <c r="CF11" s="33">
        <f t="shared" si="14"/>
        <v>8.2558966730933641</v>
      </c>
      <c r="CI11" s="10">
        <f t="shared" si="22"/>
        <v>1998</v>
      </c>
      <c r="CJ11" s="11">
        <f t="shared" si="46"/>
        <v>866107</v>
      </c>
      <c r="CK11" s="11">
        <f t="shared" si="23"/>
        <v>1219950</v>
      </c>
      <c r="CL11" s="31">
        <f>BR12-BR11*$BU$51</f>
        <v>6.0097043477522929</v>
      </c>
      <c r="CM11" s="31">
        <f>BS12-BS11*$BU$51</f>
        <v>8.4558008722055344</v>
      </c>
      <c r="CN11" s="31">
        <f>BT12-BT11*$BU$51</f>
        <v>8.2558966730933641</v>
      </c>
      <c r="CO11" s="25">
        <f>$CC$44+$CC$45*CL11+$CC$46*CM11</f>
        <v>8.2129136052650313</v>
      </c>
      <c r="CP11" s="25">
        <f>CO11/(1-BU$51)</f>
        <v>13.998442668450631</v>
      </c>
      <c r="CQ11" s="34">
        <f t="shared" si="47"/>
        <v>1200732.8881418961</v>
      </c>
      <c r="CR11" s="11">
        <f t="shared" si="48"/>
        <v>852463.6619145755</v>
      </c>
      <c r="CS11" s="11"/>
      <c r="CT11" s="31">
        <f t="shared" si="49"/>
        <v>2.8328691991974285E-3</v>
      </c>
      <c r="CU11" s="31">
        <f t="shared" si="49"/>
        <v>1.1092812207465685E-7</v>
      </c>
      <c r="CX11" s="25"/>
      <c r="CZ11">
        <f t="shared" si="24"/>
        <v>1998</v>
      </c>
      <c r="DA11" s="19">
        <f t="shared" si="25"/>
        <v>1219.95</v>
      </c>
      <c r="DB11" s="19">
        <f t="shared" si="26"/>
        <v>1200.7328881418962</v>
      </c>
      <c r="DC11" s="19">
        <f t="shared" si="50"/>
        <v>19.217111858103863</v>
      </c>
      <c r="DD11" s="35">
        <f t="shared" si="51"/>
        <v>369.29738816687609</v>
      </c>
      <c r="DF11">
        <f t="shared" si="52"/>
        <v>1998</v>
      </c>
      <c r="DG11" s="11">
        <f t="shared" si="52"/>
        <v>1219.95</v>
      </c>
      <c r="DH11" s="11">
        <f t="shared" si="52"/>
        <v>1200.7328881418962</v>
      </c>
      <c r="DI11" s="11">
        <f t="shared" si="55"/>
        <v>1169.533873067596</v>
      </c>
      <c r="DJ11" s="11">
        <f t="shared" si="56"/>
        <v>1185.133380604746</v>
      </c>
      <c r="DK11" s="11">
        <f t="shared" si="53"/>
        <v>34.816619395254065</v>
      </c>
      <c r="DL11" s="25">
        <f t="shared" si="54"/>
        <v>1212.1969861139814</v>
      </c>
      <c r="DN11" s="19"/>
      <c r="DO11" s="19">
        <f t="shared" si="57"/>
        <v>10.833883561763969</v>
      </c>
      <c r="DP11" s="19">
        <f t="shared" si="58"/>
        <v>19.217111858103863</v>
      </c>
      <c r="DQ11" s="19">
        <f t="shared" si="59"/>
        <v>34.816619395254065</v>
      </c>
      <c r="DR11" s="38">
        <f t="shared" si="60"/>
        <v>34.816619395254065</v>
      </c>
      <c r="DS11">
        <f t="shared" ref="DS11:DU25" si="63">($DR11=DO11)*1</f>
        <v>0</v>
      </c>
      <c r="DT11">
        <f t="shared" si="63"/>
        <v>0</v>
      </c>
      <c r="DU11">
        <f t="shared" si="63"/>
        <v>1</v>
      </c>
    </row>
    <row r="12" spans="1:125" ht="13" x14ac:dyDescent="0.3">
      <c r="A12" s="8" t="s">
        <v>58</v>
      </c>
      <c r="B12" s="8">
        <v>12</v>
      </c>
      <c r="C12" s="1" t="s">
        <v>21</v>
      </c>
      <c r="E12" s="12" t="s">
        <v>25</v>
      </c>
      <c r="F12" s="12">
        <v>2001</v>
      </c>
      <c r="G12" s="16">
        <v>1020690</v>
      </c>
      <c r="H12" s="17">
        <v>36892</v>
      </c>
      <c r="I12" s="18">
        <v>177.042</v>
      </c>
      <c r="J12" s="19">
        <f t="shared" si="0"/>
        <v>832933</v>
      </c>
      <c r="K12" s="19">
        <f t="shared" si="2"/>
        <v>1323723</v>
      </c>
      <c r="L12" s="19"/>
      <c r="M12" s="20">
        <f t="shared" si="3"/>
        <v>2001</v>
      </c>
      <c r="N12" s="11">
        <f t="shared" si="4"/>
        <v>1324</v>
      </c>
      <c r="O12" s="11">
        <f t="shared" si="7"/>
        <v>36</v>
      </c>
      <c r="P12" s="11">
        <f t="shared" si="11"/>
        <v>1258.6666666666667</v>
      </c>
      <c r="Q12" s="11">
        <f t="shared" si="11"/>
        <v>54.333333333333336</v>
      </c>
      <c r="R12" s="11">
        <f t="shared" si="27"/>
        <v>1367.3333333333335</v>
      </c>
      <c r="S12" s="11">
        <f t="shared" si="28"/>
        <v>-43.333333333333485</v>
      </c>
      <c r="T12" s="11">
        <f t="shared" si="61"/>
        <v>1877.777777777791</v>
      </c>
      <c r="W12" s="20">
        <f t="shared" si="8"/>
        <v>2001</v>
      </c>
      <c r="X12" s="19">
        <f t="shared" si="5"/>
        <v>1324</v>
      </c>
      <c r="Y12" s="11">
        <f t="shared" si="15"/>
        <v>1258.6666666666667</v>
      </c>
      <c r="Z12" s="11">
        <f t="shared" si="29"/>
        <v>65.333333333333258</v>
      </c>
      <c r="AA12" s="11">
        <f t="shared" ref="AA12:AA23" si="64">Z12^2</f>
        <v>4268.4444444444343</v>
      </c>
      <c r="AC12" s="20">
        <f t="shared" si="1"/>
        <v>2001</v>
      </c>
      <c r="AD12" s="19">
        <f t="shared" si="1"/>
        <v>1324</v>
      </c>
      <c r="AE12" s="11">
        <f t="shared" si="9"/>
        <v>36</v>
      </c>
      <c r="AF12" s="11">
        <f t="shared" si="12"/>
        <v>1278</v>
      </c>
      <c r="AG12" s="11">
        <f t="shared" si="12"/>
        <v>34</v>
      </c>
      <c r="AH12" s="11">
        <f t="shared" si="13"/>
        <v>1346</v>
      </c>
      <c r="AI12" s="11">
        <f t="shared" si="30"/>
        <v>-22</v>
      </c>
      <c r="AJ12" s="11">
        <f t="shared" ref="AJ12:AJ23" si="65">AI12^2</f>
        <v>484</v>
      </c>
      <c r="AL12" s="20">
        <f t="shared" si="6"/>
        <v>2001</v>
      </c>
      <c r="AM12" s="19">
        <f t="shared" si="6"/>
        <v>1324</v>
      </c>
      <c r="AN12" s="11">
        <f t="shared" si="10"/>
        <v>36</v>
      </c>
      <c r="AO12" s="11">
        <f t="shared" si="31"/>
        <v>1278</v>
      </c>
      <c r="AP12" s="11">
        <f t="shared" si="31"/>
        <v>34</v>
      </c>
      <c r="AQ12" s="11">
        <f t="shared" si="32"/>
        <v>1346</v>
      </c>
      <c r="AR12" s="11">
        <f t="shared" si="33"/>
        <v>-22</v>
      </c>
      <c r="AS12" s="11">
        <f t="shared" si="34"/>
        <v>484</v>
      </c>
      <c r="AU12" s="20">
        <f t="shared" si="16"/>
        <v>1997</v>
      </c>
      <c r="AV12" s="11">
        <f t="shared" si="16"/>
        <v>1125</v>
      </c>
      <c r="AW12" s="25">
        <f t="shared" si="35"/>
        <v>1130.8161565388721</v>
      </c>
      <c r="AX12" s="25">
        <f t="shared" si="36"/>
        <v>38.717716528723869</v>
      </c>
      <c r="AY12" s="25">
        <f t="shared" si="37"/>
        <v>1141.6175901110632</v>
      </c>
      <c r="AZ12" s="11">
        <f t="shared" ref="AZ12:AZ27" si="66">AV12-AY12</f>
        <v>-16.617590111063237</v>
      </c>
      <c r="BA12" s="11">
        <f t="shared" si="17"/>
        <v>276.14430109930669</v>
      </c>
      <c r="BC12" s="20">
        <f t="shared" si="38"/>
        <v>1997</v>
      </c>
      <c r="BD12" s="11">
        <f t="shared" si="38"/>
        <v>1125</v>
      </c>
      <c r="BE12" s="25">
        <f t="shared" si="39"/>
        <v>1130.7612141436846</v>
      </c>
      <c r="BF12" s="25">
        <f t="shared" si="40"/>
        <v>38.668934435438032</v>
      </c>
      <c r="BG12" s="25">
        <f t="shared" si="41"/>
        <v>1141.4606118390991</v>
      </c>
      <c r="BH12" s="11">
        <f t="shared" ref="BH12:BH27" si="67">BD12-BG12</f>
        <v>-16.460611839099101</v>
      </c>
      <c r="BI12" s="11">
        <f t="shared" si="18"/>
        <v>270.95174211748952</v>
      </c>
      <c r="BL12">
        <v>1997</v>
      </c>
      <c r="BM12" s="26">
        <v>1819113</v>
      </c>
      <c r="BN12" s="30">
        <v>19373</v>
      </c>
      <c r="BO12" s="18">
        <f t="shared" si="19"/>
        <v>160.52500000000001</v>
      </c>
      <c r="BP12" s="26">
        <f t="shared" si="42"/>
        <v>27709.816489643359</v>
      </c>
      <c r="BQ12" s="10">
        <v>1998</v>
      </c>
      <c r="BR12" s="31">
        <f t="shared" si="62"/>
        <v>10.229542015303279</v>
      </c>
      <c r="BS12" s="31">
        <f t="shared" si="43"/>
        <v>14.413859577615845</v>
      </c>
      <c r="BT12" s="32">
        <f t="shared" si="20"/>
        <v>14.01432043226303</v>
      </c>
      <c r="BV12" s="19">
        <f t="shared" si="44"/>
        <v>1819113</v>
      </c>
      <c r="BW12" s="19">
        <f t="shared" si="45"/>
        <v>27709.816489643359</v>
      </c>
      <c r="CC12" s="21">
        <f t="shared" si="21"/>
        <v>1999</v>
      </c>
      <c r="CD12" s="33">
        <f t="shared" si="14"/>
        <v>6.041520413204081</v>
      </c>
      <c r="CE12" s="33">
        <f t="shared" si="14"/>
        <v>8.4547114447539151</v>
      </c>
      <c r="CF12" s="33">
        <f t="shared" si="14"/>
        <v>8.2607686151310631</v>
      </c>
      <c r="CI12" s="10">
        <f t="shared" si="22"/>
        <v>1999</v>
      </c>
      <c r="CJ12" s="11">
        <f t="shared" si="46"/>
        <v>919879</v>
      </c>
      <c r="CK12" s="11">
        <f t="shared" si="23"/>
        <v>1267884</v>
      </c>
      <c r="CL12" s="31">
        <f>BR13-BR12*$BU$51</f>
        <v>6.041520413204081</v>
      </c>
      <c r="CM12" s="31">
        <f>BS13-BS12*$BU$51</f>
        <v>8.4547114447539151</v>
      </c>
      <c r="CN12" s="31">
        <f>BT13-BT12*$BU$51</f>
        <v>8.2607686151310631</v>
      </c>
      <c r="CO12" s="25">
        <f>$CC$44+$CC$45*CL12+$CC$46*CM12</f>
        <v>8.264508296092405</v>
      </c>
      <c r="CP12" s="25">
        <f>CO12/(1-BU$51)</f>
        <v>14.086382875331708</v>
      </c>
      <c r="CQ12" s="34">
        <f t="shared" si="47"/>
        <v>1311107.6540198915</v>
      </c>
      <c r="CR12" s="11">
        <f t="shared" si="48"/>
        <v>951238.8561592811</v>
      </c>
      <c r="CS12" s="11"/>
      <c r="CT12" s="31">
        <f t="shared" si="49"/>
        <v>4.5832983799779572E-4</v>
      </c>
      <c r="CU12" s="31">
        <f t="shared" si="49"/>
        <v>2.0234669558843281E-6</v>
      </c>
      <c r="CX12" s="25"/>
      <c r="CZ12">
        <f t="shared" si="24"/>
        <v>1999</v>
      </c>
      <c r="DA12" s="19">
        <f t="shared" si="25"/>
        <v>1267.884</v>
      </c>
      <c r="DB12" s="19">
        <f t="shared" si="26"/>
        <v>1311.1076540198915</v>
      </c>
      <c r="DC12" s="19">
        <f t="shared" si="50"/>
        <v>-43.223654019891455</v>
      </c>
      <c r="DD12" s="35">
        <f t="shared" si="51"/>
        <v>1868.2842668312787</v>
      </c>
      <c r="DF12">
        <f t="shared" si="52"/>
        <v>1999</v>
      </c>
      <c r="DG12" s="11">
        <f t="shared" si="52"/>
        <v>1267.884</v>
      </c>
      <c r="DH12" s="11">
        <f t="shared" si="52"/>
        <v>1311.1076540198915</v>
      </c>
      <c r="DI12" s="11">
        <f t="shared" si="55"/>
        <v>1241.3826019274431</v>
      </c>
      <c r="DJ12" s="11">
        <f t="shared" si="56"/>
        <v>1276.2451279736674</v>
      </c>
      <c r="DK12" s="11">
        <f t="shared" si="53"/>
        <v>-8.3611279736674078</v>
      </c>
      <c r="DL12" s="25">
        <f t="shared" si="54"/>
        <v>69.908460992043658</v>
      </c>
      <c r="DN12" s="19"/>
      <c r="DO12" s="19">
        <f t="shared" si="57"/>
        <v>16.617590111063237</v>
      </c>
      <c r="DP12" s="19">
        <f t="shared" si="58"/>
        <v>43.223654019891455</v>
      </c>
      <c r="DQ12" s="19">
        <f t="shared" si="59"/>
        <v>8.3611279736674078</v>
      </c>
      <c r="DR12" s="38">
        <f t="shared" si="60"/>
        <v>43.223654019891455</v>
      </c>
      <c r="DS12">
        <f t="shared" si="63"/>
        <v>0</v>
      </c>
      <c r="DT12">
        <f t="shared" si="63"/>
        <v>1</v>
      </c>
      <c r="DU12">
        <f t="shared" si="63"/>
        <v>0</v>
      </c>
    </row>
    <row r="13" spans="1:125" ht="13.5" thickBot="1" x14ac:dyDescent="0.35">
      <c r="A13" s="8" t="s">
        <v>59</v>
      </c>
      <c r="B13" s="8">
        <v>13</v>
      </c>
      <c r="C13" s="1" t="s">
        <v>21</v>
      </c>
      <c r="E13" s="12" t="s">
        <v>25</v>
      </c>
      <c r="F13" s="12">
        <v>2002</v>
      </c>
      <c r="G13" s="16">
        <v>1034665</v>
      </c>
      <c r="H13" s="17">
        <v>37257</v>
      </c>
      <c r="I13" s="18">
        <v>179.86699999999999</v>
      </c>
      <c r="J13" s="19">
        <f t="shared" si="0"/>
        <v>831076</v>
      </c>
      <c r="K13" s="19">
        <f t="shared" si="2"/>
        <v>1320772</v>
      </c>
      <c r="L13" s="19"/>
      <c r="M13" s="20">
        <f t="shared" si="3"/>
        <v>2002</v>
      </c>
      <c r="N13" s="11">
        <f t="shared" si="4"/>
        <v>1321</v>
      </c>
      <c r="O13" s="11">
        <f t="shared" si="7"/>
        <v>-3</v>
      </c>
      <c r="P13" s="11">
        <f t="shared" si="11"/>
        <v>1293.3333333333333</v>
      </c>
      <c r="Q13" s="11">
        <f t="shared" si="11"/>
        <v>34.666666666666664</v>
      </c>
      <c r="R13" s="11">
        <f t="shared" si="27"/>
        <v>1362.6666666666665</v>
      </c>
      <c r="S13" s="11">
        <f t="shared" si="28"/>
        <v>-41.666666666666515</v>
      </c>
      <c r="T13" s="11">
        <f t="shared" si="61"/>
        <v>1736.1111111110986</v>
      </c>
      <c r="W13" s="20">
        <f t="shared" si="8"/>
        <v>2002</v>
      </c>
      <c r="X13" s="19">
        <f t="shared" si="5"/>
        <v>1321</v>
      </c>
      <c r="Y13" s="11">
        <f t="shared" si="15"/>
        <v>1293.3333333333333</v>
      </c>
      <c r="Z13" s="11">
        <f t="shared" si="29"/>
        <v>27.666666666666742</v>
      </c>
      <c r="AA13" s="11">
        <f t="shared" si="64"/>
        <v>765.44444444444866</v>
      </c>
      <c r="AC13" s="20">
        <f t="shared" si="1"/>
        <v>2002</v>
      </c>
      <c r="AD13" s="19">
        <f t="shared" si="1"/>
        <v>1321</v>
      </c>
      <c r="AE13" s="11">
        <f t="shared" si="9"/>
        <v>-3</v>
      </c>
      <c r="AF13" s="11">
        <f t="shared" si="12"/>
        <v>1306</v>
      </c>
      <c r="AG13" s="11">
        <f t="shared" si="12"/>
        <v>28</v>
      </c>
      <c r="AH13" s="11">
        <f t="shared" si="13"/>
        <v>1362</v>
      </c>
      <c r="AI13" s="11">
        <f t="shared" si="30"/>
        <v>-41</v>
      </c>
      <c r="AJ13" s="11">
        <f t="shared" si="65"/>
        <v>1681</v>
      </c>
      <c r="AL13" s="20">
        <f t="shared" si="6"/>
        <v>2002</v>
      </c>
      <c r="AM13" s="19">
        <f t="shared" si="6"/>
        <v>1321</v>
      </c>
      <c r="AN13" s="11">
        <f t="shared" si="10"/>
        <v>-3</v>
      </c>
      <c r="AO13" s="11">
        <f t="shared" si="31"/>
        <v>1306</v>
      </c>
      <c r="AP13" s="11">
        <f t="shared" si="31"/>
        <v>28</v>
      </c>
      <c r="AQ13" s="11">
        <f t="shared" si="32"/>
        <v>1362</v>
      </c>
      <c r="AR13" s="11">
        <f t="shared" si="33"/>
        <v>-41</v>
      </c>
      <c r="AS13" s="11">
        <f t="shared" si="34"/>
        <v>1681</v>
      </c>
      <c r="AU13" s="20">
        <f t="shared" si="16"/>
        <v>1998</v>
      </c>
      <c r="AV13" s="11">
        <f t="shared" si="16"/>
        <v>1220</v>
      </c>
      <c r="AW13" s="25">
        <f t="shared" si="35"/>
        <v>1202.3368555736586</v>
      </c>
      <c r="AX13" s="25">
        <f t="shared" si="36"/>
        <v>39.045746353784494</v>
      </c>
      <c r="AY13" s="25">
        <f t="shared" si="37"/>
        <v>1169.533873067596</v>
      </c>
      <c r="AZ13" s="11">
        <f t="shared" si="66"/>
        <v>50.466126932403995</v>
      </c>
      <c r="BA13" s="11">
        <f t="shared" si="17"/>
        <v>2546.8299675575117</v>
      </c>
      <c r="BC13" s="20">
        <f t="shared" si="38"/>
        <v>1998</v>
      </c>
      <c r="BD13" s="11">
        <f t="shared" si="38"/>
        <v>1220</v>
      </c>
      <c r="BE13" s="25">
        <f t="shared" si="39"/>
        <v>1202.3005520026929</v>
      </c>
      <c r="BF13" s="25">
        <f t="shared" si="40"/>
        <v>38.680835352423472</v>
      </c>
      <c r="BG13" s="25">
        <f t="shared" si="41"/>
        <v>1169.4301485791227</v>
      </c>
      <c r="BH13" s="11">
        <f t="shared" si="67"/>
        <v>50.569851420877285</v>
      </c>
      <c r="BI13" s="11">
        <f t="shared" si="18"/>
        <v>2557.3098727296042</v>
      </c>
      <c r="BL13">
        <v>1998</v>
      </c>
      <c r="BM13" s="26">
        <v>1815609</v>
      </c>
      <c r="BN13" s="30">
        <v>20472</v>
      </c>
      <c r="BO13" s="18">
        <f t="shared" si="19"/>
        <v>163.00800000000001</v>
      </c>
      <c r="BP13" s="26">
        <f t="shared" si="42"/>
        <v>28835.720259128386</v>
      </c>
      <c r="BQ13" s="10">
        <v>1999</v>
      </c>
      <c r="BR13" s="31">
        <f t="shared" si="62"/>
        <v>10.269370184379078</v>
      </c>
      <c r="BS13" s="31">
        <f t="shared" si="43"/>
        <v>14.411931506591158</v>
      </c>
      <c r="BT13" s="32">
        <f t="shared" si="20"/>
        <v>14.052859927144674</v>
      </c>
      <c r="BV13" s="19">
        <f t="shared" si="44"/>
        <v>1815609</v>
      </c>
      <c r="BW13" s="19">
        <f t="shared" si="45"/>
        <v>28835.720259128386</v>
      </c>
      <c r="CC13" s="21">
        <f t="shared" si="21"/>
        <v>2000</v>
      </c>
      <c r="CD13" s="33">
        <f t="shared" si="14"/>
        <v>6.031160058426277</v>
      </c>
      <c r="CE13" s="33">
        <f t="shared" si="14"/>
        <v>8.4534076384381223</v>
      </c>
      <c r="CF13" s="33">
        <f t="shared" si="14"/>
        <v>8.2603563949049672</v>
      </c>
      <c r="CI13" s="10">
        <f t="shared" si="22"/>
        <v>2000</v>
      </c>
      <c r="CJ13" s="11">
        <f t="shared" si="46"/>
        <v>965721</v>
      </c>
      <c r="CK13" s="11">
        <f t="shared" si="23"/>
        <v>1287710</v>
      </c>
      <c r="CL13" s="31">
        <f>BR14-BR13*$BU$51</f>
        <v>6.031160058426277</v>
      </c>
      <c r="CM13" s="31">
        <f>BS14-BS13*$BU$51</f>
        <v>8.4534076384381223</v>
      </c>
      <c r="CN13" s="31">
        <f>BT14-BT13*$BU$51</f>
        <v>8.2603563949049672</v>
      </c>
      <c r="CO13" s="25">
        <f>$CC$44+$CC$45*CL13+$CC$46*CM13</f>
        <v>8.2433656913564164</v>
      </c>
      <c r="CP13" s="25">
        <f>CO13/(1-BU$51)</f>
        <v>14.050346511809179</v>
      </c>
      <c r="CQ13" s="34">
        <f t="shared" si="47"/>
        <v>1264701.2823319738</v>
      </c>
      <c r="CR13" s="11">
        <f t="shared" si="48"/>
        <v>948465.37171524554</v>
      </c>
      <c r="CS13" s="11"/>
      <c r="CT13" s="31">
        <f t="shared" si="49"/>
        <v>1.0092689866747664E-3</v>
      </c>
      <c r="CU13" s="31">
        <f t="shared" si="49"/>
        <v>7.4326708178346819E-6</v>
      </c>
      <c r="CX13" s="25"/>
      <c r="CZ13">
        <f t="shared" si="24"/>
        <v>2000</v>
      </c>
      <c r="DA13" s="19">
        <f t="shared" si="25"/>
        <v>1287.71</v>
      </c>
      <c r="DB13" s="19">
        <f t="shared" si="26"/>
        <v>1264.7012823319737</v>
      </c>
      <c r="DC13" s="19">
        <f t="shared" si="50"/>
        <v>23.008717668026293</v>
      </c>
      <c r="DD13" s="35">
        <f t="shared" si="51"/>
        <v>529.40108872694532</v>
      </c>
      <c r="DF13">
        <f t="shared" si="52"/>
        <v>2000</v>
      </c>
      <c r="DG13" s="11">
        <f t="shared" si="52"/>
        <v>1287.71</v>
      </c>
      <c r="DH13" s="11">
        <f t="shared" si="52"/>
        <v>1264.7012823319737</v>
      </c>
      <c r="DI13" s="11">
        <f t="shared" si="55"/>
        <v>1297.9026701158614</v>
      </c>
      <c r="DJ13" s="11">
        <f t="shared" si="56"/>
        <v>1281.3019762239176</v>
      </c>
      <c r="DK13" s="11">
        <f t="shared" si="53"/>
        <v>6.408023776082473</v>
      </c>
      <c r="DL13" s="25">
        <f t="shared" si="54"/>
        <v>41.062768714838278</v>
      </c>
      <c r="DN13" s="19"/>
      <c r="DO13" s="19">
        <f t="shared" si="57"/>
        <v>50.466126932403995</v>
      </c>
      <c r="DP13" s="19">
        <f t="shared" si="58"/>
        <v>23.008717668026293</v>
      </c>
      <c r="DQ13" s="19">
        <f t="shared" si="59"/>
        <v>6.408023776082473</v>
      </c>
      <c r="DR13" s="38">
        <f t="shared" si="60"/>
        <v>50.466126932403995</v>
      </c>
      <c r="DS13">
        <f t="shared" si="63"/>
        <v>1</v>
      </c>
      <c r="DT13">
        <f t="shared" si="63"/>
        <v>0</v>
      </c>
      <c r="DU13">
        <f t="shared" si="63"/>
        <v>0</v>
      </c>
    </row>
    <row r="14" spans="1:125" ht="13" x14ac:dyDescent="0.3">
      <c r="A14" s="8" t="s">
        <v>60</v>
      </c>
      <c r="B14" s="8">
        <v>14</v>
      </c>
      <c r="C14" s="1" t="s">
        <v>21</v>
      </c>
      <c r="E14" s="12" t="s">
        <v>25</v>
      </c>
      <c r="F14" s="12">
        <v>2003</v>
      </c>
      <c r="G14" s="16">
        <v>1055523</v>
      </c>
      <c r="H14" s="17">
        <v>37622</v>
      </c>
      <c r="I14" s="18">
        <v>184</v>
      </c>
      <c r="J14" s="19">
        <f t="shared" si="0"/>
        <v>828786</v>
      </c>
      <c r="K14" s="19">
        <f t="shared" si="2"/>
        <v>1317132</v>
      </c>
      <c r="L14" s="19"/>
      <c r="M14" s="20">
        <f t="shared" si="3"/>
        <v>2003</v>
      </c>
      <c r="N14" s="11">
        <f t="shared" si="4"/>
        <v>1317</v>
      </c>
      <c r="O14" s="11">
        <f t="shared" si="7"/>
        <v>-4</v>
      </c>
      <c r="P14" s="11">
        <f t="shared" si="11"/>
        <v>1311</v>
      </c>
      <c r="Q14" s="11">
        <f t="shared" si="11"/>
        <v>17.666666666666668</v>
      </c>
      <c r="R14" s="11">
        <f t="shared" si="27"/>
        <v>1346.3333333333333</v>
      </c>
      <c r="S14" s="11">
        <f t="shared" si="28"/>
        <v>-29.333333333333258</v>
      </c>
      <c r="T14" s="11">
        <f t="shared" si="61"/>
        <v>860.44444444444002</v>
      </c>
      <c r="W14" s="20">
        <f t="shared" si="8"/>
        <v>2003</v>
      </c>
      <c r="X14" s="19">
        <f t="shared" si="5"/>
        <v>1317</v>
      </c>
      <c r="Y14" s="11">
        <f t="shared" si="15"/>
        <v>1311</v>
      </c>
      <c r="Z14" s="11">
        <f t="shared" si="29"/>
        <v>6</v>
      </c>
      <c r="AA14" s="11">
        <f t="shared" si="64"/>
        <v>36</v>
      </c>
      <c r="AC14" s="20">
        <f t="shared" si="1"/>
        <v>2003</v>
      </c>
      <c r="AD14" s="19">
        <f t="shared" si="1"/>
        <v>1317</v>
      </c>
      <c r="AE14" s="11">
        <f t="shared" si="9"/>
        <v>-4</v>
      </c>
      <c r="AF14" s="11">
        <f t="shared" si="12"/>
        <v>1322.5</v>
      </c>
      <c r="AG14" s="11">
        <f t="shared" si="12"/>
        <v>16.5</v>
      </c>
      <c r="AH14" s="11">
        <f t="shared" si="13"/>
        <v>1355.5</v>
      </c>
      <c r="AI14" s="11">
        <f t="shared" si="30"/>
        <v>-38.5</v>
      </c>
      <c r="AJ14" s="11">
        <f t="shared" si="65"/>
        <v>1482.25</v>
      </c>
      <c r="AL14" s="20">
        <f t="shared" si="6"/>
        <v>2003</v>
      </c>
      <c r="AM14" s="19">
        <f t="shared" si="6"/>
        <v>1317</v>
      </c>
      <c r="AN14" s="11">
        <f t="shared" si="10"/>
        <v>-4</v>
      </c>
      <c r="AO14" s="11">
        <f t="shared" si="31"/>
        <v>1322.5</v>
      </c>
      <c r="AP14" s="11">
        <f t="shared" si="31"/>
        <v>16.5</v>
      </c>
      <c r="AQ14" s="11">
        <f t="shared" si="32"/>
        <v>1355.5</v>
      </c>
      <c r="AR14" s="11">
        <f t="shared" si="33"/>
        <v>-38.5</v>
      </c>
      <c r="AS14" s="11">
        <f t="shared" si="34"/>
        <v>1482.25</v>
      </c>
      <c r="AU14" s="20">
        <f t="shared" si="16"/>
        <v>1999</v>
      </c>
      <c r="AV14" s="11">
        <f t="shared" si="16"/>
        <v>1268</v>
      </c>
      <c r="AW14" s="25">
        <f t="shared" si="35"/>
        <v>1258.6839106746052</v>
      </c>
      <c r="AX14" s="25">
        <f t="shared" si="36"/>
        <v>39.218759441256111</v>
      </c>
      <c r="AY14" s="25">
        <f t="shared" si="37"/>
        <v>1241.3826019274431</v>
      </c>
      <c r="AZ14" s="11">
        <f t="shared" si="66"/>
        <v>26.617398072556853</v>
      </c>
      <c r="BA14" s="11">
        <f t="shared" si="17"/>
        <v>708.4858801529532</v>
      </c>
      <c r="BC14" s="20">
        <f t="shared" si="38"/>
        <v>1999</v>
      </c>
      <c r="BD14" s="11">
        <f t="shared" si="38"/>
        <v>1268</v>
      </c>
      <c r="BE14" s="25">
        <f t="shared" si="39"/>
        <v>1258.5434855742908</v>
      </c>
      <c r="BF14" s="25">
        <f t="shared" si="40"/>
        <v>38.669173129715929</v>
      </c>
      <c r="BG14" s="25">
        <f t="shared" si="41"/>
        <v>1240.9813873551163</v>
      </c>
      <c r="BH14" s="11">
        <f t="shared" si="67"/>
        <v>27.01861264488366</v>
      </c>
      <c r="BI14" s="11">
        <f t="shared" si="18"/>
        <v>730.00542925426726</v>
      </c>
      <c r="BL14">
        <v>1999</v>
      </c>
      <c r="BM14" s="26">
        <v>1811799</v>
      </c>
      <c r="BN14" s="30">
        <v>21049</v>
      </c>
      <c r="BO14" s="18">
        <f t="shared" si="19"/>
        <v>166.583</v>
      </c>
      <c r="BP14" s="26">
        <f t="shared" si="42"/>
        <v>29012.171686186466</v>
      </c>
      <c r="BQ14" s="10">
        <v>2000</v>
      </c>
      <c r="BR14" s="31">
        <f t="shared" si="62"/>
        <v>10.275470734230389</v>
      </c>
      <c r="BS14" s="31">
        <f t="shared" si="43"/>
        <v>14.409830832279873</v>
      </c>
      <c r="BT14" s="32">
        <f t="shared" si="20"/>
        <v>14.068376005015677</v>
      </c>
      <c r="BV14" s="19">
        <f t="shared" si="44"/>
        <v>1811799</v>
      </c>
      <c r="BW14" s="19">
        <f t="shared" si="45"/>
        <v>29012.171686186466</v>
      </c>
      <c r="BY14" s="37"/>
      <c r="BZ14" s="37" t="s">
        <v>35</v>
      </c>
      <c r="CA14" s="37" t="s">
        <v>37</v>
      </c>
      <c r="CC14" s="21">
        <f t="shared" si="21"/>
        <v>2001</v>
      </c>
      <c r="CD14" s="33">
        <f t="shared" si="14"/>
        <v>6.0475445428785459</v>
      </c>
      <c r="CE14" s="33">
        <f t="shared" si="14"/>
        <v>8.4516025507784427</v>
      </c>
      <c r="CF14" s="33">
        <f t="shared" si="14"/>
        <v>8.2815264042448788</v>
      </c>
      <c r="CI14" s="10">
        <f t="shared" si="22"/>
        <v>2001</v>
      </c>
      <c r="CJ14" s="11">
        <f t="shared" si="46"/>
        <v>1020690</v>
      </c>
      <c r="CK14" s="11">
        <f t="shared" si="23"/>
        <v>1323723</v>
      </c>
      <c r="CL14" s="31">
        <f>BR15-BR14*$BU$51</f>
        <v>6.0475445428785459</v>
      </c>
      <c r="CM14" s="31">
        <f>BS15-BS14*$BU$51</f>
        <v>8.4516025507784427</v>
      </c>
      <c r="CN14" s="31">
        <f>BT15-BT14*$BU$51</f>
        <v>8.2815264042448788</v>
      </c>
      <c r="CO14" s="25">
        <f>$CC$44+$CC$45*CL14+$CC$46*CM14</f>
        <v>8.2666790507638428</v>
      </c>
      <c r="CP14" s="25">
        <f>CO14/(1-BU$51)</f>
        <v>14.09008280282101</v>
      </c>
      <c r="CQ14" s="34">
        <f t="shared" si="47"/>
        <v>1315967.642528757</v>
      </c>
      <c r="CR14" s="11">
        <f t="shared" si="48"/>
        <v>1014710.2984642087</v>
      </c>
      <c r="CS14" s="11"/>
      <c r="CT14" s="31">
        <f t="shared" si="49"/>
        <v>2.3668313736695728E-4</v>
      </c>
      <c r="CU14" s="31">
        <f t="shared" si="49"/>
        <v>2.0533406188566721E-5</v>
      </c>
      <c r="CX14" s="25"/>
      <c r="CZ14">
        <f t="shared" si="24"/>
        <v>2001</v>
      </c>
      <c r="DA14" s="19">
        <f t="shared" si="25"/>
        <v>1323.723</v>
      </c>
      <c r="DB14" s="19">
        <f t="shared" si="26"/>
        <v>1315.9676425287571</v>
      </c>
      <c r="DC14" s="19">
        <f t="shared" si="50"/>
        <v>7.7553574712428599</v>
      </c>
      <c r="DD14" s="35">
        <f t="shared" si="51"/>
        <v>60.145569506762449</v>
      </c>
      <c r="DF14">
        <f t="shared" si="52"/>
        <v>2001</v>
      </c>
      <c r="DG14" s="11">
        <f t="shared" si="52"/>
        <v>1323.723</v>
      </c>
      <c r="DH14" s="11">
        <f t="shared" si="52"/>
        <v>1315.9676425287571</v>
      </c>
      <c r="DI14" s="11">
        <f t="shared" si="55"/>
        <v>1330.6203266260545</v>
      </c>
      <c r="DJ14" s="11">
        <f t="shared" si="56"/>
        <v>1323.2939845774058</v>
      </c>
      <c r="DK14" s="11">
        <f t="shared" si="53"/>
        <v>0.42901542259414782</v>
      </c>
      <c r="DL14" s="25">
        <f t="shared" si="54"/>
        <v>0.18405423282363523</v>
      </c>
      <c r="DN14" s="19"/>
      <c r="DO14" s="19">
        <f t="shared" si="57"/>
        <v>26.617398072556853</v>
      </c>
      <c r="DP14" s="19">
        <f t="shared" si="58"/>
        <v>7.7553574712428599</v>
      </c>
      <c r="DQ14" s="19">
        <f t="shared" si="59"/>
        <v>0.42901542259414782</v>
      </c>
      <c r="DR14" s="38">
        <f t="shared" si="60"/>
        <v>26.617398072556853</v>
      </c>
      <c r="DS14">
        <f t="shared" si="63"/>
        <v>1</v>
      </c>
      <c r="DT14">
        <f t="shared" si="63"/>
        <v>0</v>
      </c>
      <c r="DU14">
        <f t="shared" si="63"/>
        <v>0</v>
      </c>
    </row>
    <row r="15" spans="1:125" ht="13" x14ac:dyDescent="0.3">
      <c r="A15" s="8" t="s">
        <v>61</v>
      </c>
      <c r="B15" s="8">
        <v>15</v>
      </c>
      <c r="C15" s="1" t="s">
        <v>21</v>
      </c>
      <c r="E15" s="12" t="s">
        <v>62</v>
      </c>
      <c r="F15" s="12">
        <v>2004</v>
      </c>
      <c r="G15" s="16">
        <v>1068212</v>
      </c>
      <c r="H15" s="17">
        <v>37987</v>
      </c>
      <c r="I15" s="18">
        <v>188.90799999999999</v>
      </c>
      <c r="J15" s="19">
        <f t="shared" si="0"/>
        <v>816958</v>
      </c>
      <c r="K15" s="19">
        <f t="shared" si="2"/>
        <v>1298334</v>
      </c>
      <c r="L15" s="19"/>
      <c r="M15" s="20">
        <f t="shared" si="3"/>
        <v>2004</v>
      </c>
      <c r="N15" s="11">
        <f t="shared" si="4"/>
        <v>1298</v>
      </c>
      <c r="O15" s="11">
        <f t="shared" si="7"/>
        <v>-19</v>
      </c>
      <c r="P15" s="11">
        <f t="shared" si="11"/>
        <v>1320.6666666666667</v>
      </c>
      <c r="Q15" s="11">
        <f t="shared" si="11"/>
        <v>9.6666666666666661</v>
      </c>
      <c r="R15" s="11">
        <f t="shared" si="27"/>
        <v>1340</v>
      </c>
      <c r="S15" s="11">
        <f t="shared" si="28"/>
        <v>-42</v>
      </c>
      <c r="T15" s="11">
        <f t="shared" si="61"/>
        <v>1764</v>
      </c>
      <c r="W15" s="20">
        <f t="shared" si="8"/>
        <v>2004</v>
      </c>
      <c r="X15" s="19">
        <f t="shared" si="5"/>
        <v>1298</v>
      </c>
      <c r="Y15" s="11">
        <f t="shared" si="15"/>
        <v>1320.6666666666667</v>
      </c>
      <c r="Z15" s="11">
        <f t="shared" si="29"/>
        <v>-22.666666666666742</v>
      </c>
      <c r="AA15" s="11">
        <f t="shared" si="64"/>
        <v>513.77777777778124</v>
      </c>
      <c r="AC15" s="20">
        <f t="shared" si="1"/>
        <v>2004</v>
      </c>
      <c r="AD15" s="19">
        <f t="shared" si="1"/>
        <v>1298</v>
      </c>
      <c r="AE15" s="11">
        <f t="shared" si="9"/>
        <v>-19</v>
      </c>
      <c r="AF15" s="11">
        <f t="shared" si="12"/>
        <v>1319</v>
      </c>
      <c r="AG15" s="11">
        <f t="shared" si="12"/>
        <v>-3.5</v>
      </c>
      <c r="AH15" s="11">
        <f t="shared" si="13"/>
        <v>1312</v>
      </c>
      <c r="AI15" s="11">
        <f t="shared" si="30"/>
        <v>-14</v>
      </c>
      <c r="AJ15" s="11">
        <f t="shared" si="65"/>
        <v>196</v>
      </c>
      <c r="AL15" s="20">
        <f t="shared" si="6"/>
        <v>2004</v>
      </c>
      <c r="AM15" s="19">
        <f t="shared" si="6"/>
        <v>1298</v>
      </c>
      <c r="AN15" s="11">
        <f t="shared" si="10"/>
        <v>-19</v>
      </c>
      <c r="AO15" s="11">
        <f t="shared" si="31"/>
        <v>1319</v>
      </c>
      <c r="AP15" s="11">
        <f t="shared" si="31"/>
        <v>-3.5</v>
      </c>
      <c r="AQ15" s="11">
        <f t="shared" si="32"/>
        <v>1312</v>
      </c>
      <c r="AR15" s="11">
        <f t="shared" si="33"/>
        <v>-14</v>
      </c>
      <c r="AS15" s="11">
        <f t="shared" si="34"/>
        <v>196</v>
      </c>
      <c r="AU15" s="20">
        <f t="shared" si="16"/>
        <v>2000</v>
      </c>
      <c r="AV15" s="11">
        <f t="shared" si="16"/>
        <v>1288</v>
      </c>
      <c r="AW15" s="25">
        <f t="shared" si="35"/>
        <v>1291.4659345405514</v>
      </c>
      <c r="AX15" s="25">
        <f t="shared" si="36"/>
        <v>39.154392085503012</v>
      </c>
      <c r="AY15" s="25">
        <f t="shared" si="37"/>
        <v>1297.9026701158614</v>
      </c>
      <c r="AZ15" s="11">
        <f t="shared" si="66"/>
        <v>-9.9026701158613832</v>
      </c>
      <c r="BA15" s="11">
        <f t="shared" si="17"/>
        <v>98.062875423574098</v>
      </c>
      <c r="BC15" s="20">
        <f t="shared" si="38"/>
        <v>2000</v>
      </c>
      <c r="BD15" s="11">
        <f t="shared" si="38"/>
        <v>1288</v>
      </c>
      <c r="BE15" s="25">
        <f t="shared" si="39"/>
        <v>1291.2244305464023</v>
      </c>
      <c r="BF15" s="25">
        <f t="shared" si="40"/>
        <v>38.621291297882202</v>
      </c>
      <c r="BG15" s="25">
        <f t="shared" si="41"/>
        <v>1297.2126587040068</v>
      </c>
      <c r="BH15" s="11">
        <f t="shared" si="67"/>
        <v>-9.2126587040067989</v>
      </c>
      <c r="BI15" s="11">
        <f t="shared" si="18"/>
        <v>84.873080396512236</v>
      </c>
      <c r="BL15">
        <v>2000</v>
      </c>
      <c r="BM15" s="26">
        <v>1806962</v>
      </c>
      <c r="BN15" s="30">
        <v>22173</v>
      </c>
      <c r="BO15" s="18">
        <f t="shared" si="19"/>
        <v>172.19200000000001</v>
      </c>
      <c r="BP15" s="26">
        <f t="shared" si="42"/>
        <v>29565.888612711395</v>
      </c>
      <c r="BQ15" s="10">
        <v>2001</v>
      </c>
      <c r="BR15" s="31">
        <f t="shared" si="62"/>
        <v>10.294376564042432</v>
      </c>
      <c r="BS15" s="31">
        <f t="shared" si="43"/>
        <v>14.407157540022864</v>
      </c>
      <c r="BT15" s="32">
        <f t="shared" si="20"/>
        <v>14.095958779089173</v>
      </c>
      <c r="BV15" s="19">
        <f t="shared" si="44"/>
        <v>1806962</v>
      </c>
      <c r="BW15" s="19">
        <f t="shared" si="45"/>
        <v>29565.888612711395</v>
      </c>
      <c r="BY15" t="s">
        <v>35</v>
      </c>
      <c r="BZ15">
        <v>1</v>
      </c>
      <c r="CC15" s="21">
        <f t="shared" si="21"/>
        <v>2002</v>
      </c>
      <c r="CD15" s="33">
        <f t="shared" si="14"/>
        <v>6.0731805978413824</v>
      </c>
      <c r="CE15" s="33">
        <f t="shared" si="14"/>
        <v>8.4480590118621315</v>
      </c>
      <c r="CF15" s="33">
        <f t="shared" si="14"/>
        <v>8.2678946904973181</v>
      </c>
      <c r="CI15" s="10">
        <f t="shared" si="22"/>
        <v>2002</v>
      </c>
      <c r="CJ15" s="11">
        <f t="shared" si="46"/>
        <v>1034665</v>
      </c>
      <c r="CK15" s="11">
        <f t="shared" si="23"/>
        <v>1320772</v>
      </c>
      <c r="CL15" s="31">
        <f>BR16-BR15*$BU$51</f>
        <v>6.0731805978413824</v>
      </c>
      <c r="CM15" s="31">
        <f>BS16-BS15*$BU$51</f>
        <v>8.4480590118621315</v>
      </c>
      <c r="CN15" s="31">
        <f>BT16-BT15*$BU$51</f>
        <v>8.2678946904973181</v>
      </c>
      <c r="CO15" s="25">
        <f>$CC$44+$CC$45*CL15+$CC$46*CM15</f>
        <v>8.3012737186292913</v>
      </c>
      <c r="CP15" s="25">
        <f>CO15/(1-BU$51)</f>
        <v>14.14904744046655</v>
      </c>
      <c r="CQ15" s="34">
        <f t="shared" si="47"/>
        <v>1395896.5297490347</v>
      </c>
      <c r="CR15" s="11">
        <f t="shared" si="48"/>
        <v>1093516.3199089284</v>
      </c>
      <c r="CS15" s="11"/>
      <c r="CT15" s="31">
        <f t="shared" si="49"/>
        <v>1.0509418117052492E-4</v>
      </c>
      <c r="CU15" s="31">
        <f t="shared" si="49"/>
        <v>6.5204318149785536E-5</v>
      </c>
      <c r="CX15" s="25"/>
      <c r="CZ15">
        <f t="shared" si="24"/>
        <v>2002</v>
      </c>
      <c r="DA15" s="19">
        <f t="shared" si="25"/>
        <v>1320.7719999999999</v>
      </c>
      <c r="DB15" s="19">
        <f t="shared" si="26"/>
        <v>1395.8965297490347</v>
      </c>
      <c r="DC15" s="19">
        <f t="shared" si="50"/>
        <v>-75.124529749034764</v>
      </c>
      <c r="DD15" s="35">
        <f t="shared" si="51"/>
        <v>5643.6949700136092</v>
      </c>
      <c r="DF15">
        <f t="shared" si="52"/>
        <v>2002</v>
      </c>
      <c r="DG15" s="11">
        <f t="shared" si="52"/>
        <v>1320.7719999999999</v>
      </c>
      <c r="DH15" s="11">
        <f t="shared" si="52"/>
        <v>1395.8965297490347</v>
      </c>
      <c r="DI15" s="11">
        <f t="shared" si="55"/>
        <v>1365.4284742815528</v>
      </c>
      <c r="DJ15" s="11">
        <f t="shared" si="56"/>
        <v>1380.6625020152937</v>
      </c>
      <c r="DK15" s="11">
        <f t="shared" si="53"/>
        <v>-59.890502015293805</v>
      </c>
      <c r="DL15" s="25">
        <f t="shared" si="54"/>
        <v>3586.8722316439112</v>
      </c>
      <c r="DN15" s="19"/>
      <c r="DO15" s="19">
        <f t="shared" si="57"/>
        <v>9.9026701158613832</v>
      </c>
      <c r="DP15" s="19">
        <f t="shared" si="58"/>
        <v>75.124529749034764</v>
      </c>
      <c r="DQ15" s="19">
        <f t="shared" si="59"/>
        <v>59.890502015293805</v>
      </c>
      <c r="DR15" s="38">
        <f t="shared" si="60"/>
        <v>75.124529749034764</v>
      </c>
      <c r="DS15">
        <f t="shared" si="63"/>
        <v>0</v>
      </c>
      <c r="DT15">
        <f t="shared" si="63"/>
        <v>1</v>
      </c>
      <c r="DU15">
        <f t="shared" si="63"/>
        <v>0</v>
      </c>
    </row>
    <row r="16" spans="1:125" ht="13.5" thickBot="1" x14ac:dyDescent="0.35">
      <c r="A16" s="8" t="s">
        <v>63</v>
      </c>
      <c r="B16" s="8">
        <v>16</v>
      </c>
      <c r="C16" s="1" t="s">
        <v>21</v>
      </c>
      <c r="E16" s="12" t="s">
        <v>62</v>
      </c>
      <c r="F16" s="12">
        <v>2005</v>
      </c>
      <c r="G16" s="16">
        <v>1171987</v>
      </c>
      <c r="H16" s="17">
        <v>38353</v>
      </c>
      <c r="I16" s="18">
        <v>195.267</v>
      </c>
      <c r="J16" s="19">
        <f t="shared" si="0"/>
        <v>867135</v>
      </c>
      <c r="K16" s="19">
        <f t="shared" si="2"/>
        <v>1378077</v>
      </c>
      <c r="L16" s="19"/>
      <c r="M16" s="20">
        <f t="shared" si="3"/>
        <v>2005</v>
      </c>
      <c r="N16" s="11">
        <f t="shared" si="4"/>
        <v>1378</v>
      </c>
      <c r="O16" s="11">
        <f t="shared" si="7"/>
        <v>80</v>
      </c>
      <c r="P16" s="11">
        <f t="shared" si="11"/>
        <v>1312</v>
      </c>
      <c r="Q16" s="11">
        <f t="shared" si="11"/>
        <v>-8.6666666666666661</v>
      </c>
      <c r="R16" s="11">
        <f t="shared" si="27"/>
        <v>1294.6666666666667</v>
      </c>
      <c r="S16" s="11">
        <f t="shared" si="28"/>
        <v>83.333333333333258</v>
      </c>
      <c r="T16" s="11">
        <f t="shared" si="61"/>
        <v>6944.4444444444316</v>
      </c>
      <c r="W16" s="20">
        <f t="shared" si="8"/>
        <v>2005</v>
      </c>
      <c r="X16" s="19">
        <f t="shared" si="5"/>
        <v>1378</v>
      </c>
      <c r="Y16" s="11">
        <f t="shared" si="15"/>
        <v>1312</v>
      </c>
      <c r="Z16" s="11">
        <f t="shared" si="29"/>
        <v>66</v>
      </c>
      <c r="AA16" s="11">
        <f t="shared" si="64"/>
        <v>4356</v>
      </c>
      <c r="AC16" s="20">
        <f t="shared" si="1"/>
        <v>2005</v>
      </c>
      <c r="AD16" s="19">
        <f t="shared" si="1"/>
        <v>1378</v>
      </c>
      <c r="AE16" s="11">
        <f t="shared" si="9"/>
        <v>80</v>
      </c>
      <c r="AF16" s="11">
        <f t="shared" si="12"/>
        <v>1307.5</v>
      </c>
      <c r="AG16" s="11">
        <f t="shared" si="12"/>
        <v>-11.5</v>
      </c>
      <c r="AH16" s="11">
        <f t="shared" si="13"/>
        <v>1284.5</v>
      </c>
      <c r="AI16" s="11">
        <f t="shared" si="30"/>
        <v>93.5</v>
      </c>
      <c r="AJ16" s="11">
        <f t="shared" si="65"/>
        <v>8742.25</v>
      </c>
      <c r="AL16" s="20">
        <f t="shared" si="6"/>
        <v>2005</v>
      </c>
      <c r="AM16" s="19">
        <f t="shared" si="6"/>
        <v>1378</v>
      </c>
      <c r="AN16" s="11">
        <f t="shared" si="10"/>
        <v>80</v>
      </c>
      <c r="AO16" s="11">
        <f t="shared" si="31"/>
        <v>1307.5</v>
      </c>
      <c r="AP16" s="11">
        <f t="shared" si="31"/>
        <v>-11.5</v>
      </c>
      <c r="AQ16" s="11">
        <f t="shared" si="32"/>
        <v>1284.5</v>
      </c>
      <c r="AR16" s="11">
        <f t="shared" si="33"/>
        <v>93.5</v>
      </c>
      <c r="AS16" s="11">
        <f t="shared" si="34"/>
        <v>8742.25</v>
      </c>
      <c r="AU16" s="20">
        <f t="shared" si="16"/>
        <v>2001</v>
      </c>
      <c r="AV16" s="11">
        <f t="shared" si="16"/>
        <v>1324</v>
      </c>
      <c r="AW16" s="25">
        <f t="shared" si="35"/>
        <v>1326.3171143191191</v>
      </c>
      <c r="AX16" s="25">
        <f t="shared" si="36"/>
        <v>39.11135996243366</v>
      </c>
      <c r="AY16" s="25">
        <f t="shared" si="37"/>
        <v>1330.6203266260545</v>
      </c>
      <c r="AZ16" s="11">
        <f t="shared" si="66"/>
        <v>-6.6203266260545206</v>
      </c>
      <c r="BA16" s="11">
        <f t="shared" si="17"/>
        <v>43.828724635646431</v>
      </c>
      <c r="BC16" s="20">
        <f t="shared" si="38"/>
        <v>2001</v>
      </c>
      <c r="BD16" s="11">
        <f t="shared" si="38"/>
        <v>1324</v>
      </c>
      <c r="BE16" s="25">
        <f t="shared" si="39"/>
        <v>1326.0460026454996</v>
      </c>
      <c r="BF16" s="25">
        <f t="shared" si="40"/>
        <v>38.576824284740042</v>
      </c>
      <c r="BG16" s="25">
        <f t="shared" si="41"/>
        <v>1329.8457218442845</v>
      </c>
      <c r="BH16" s="11">
        <f t="shared" si="67"/>
        <v>-5.845721844284526</v>
      </c>
      <c r="BI16" s="11">
        <f t="shared" si="18"/>
        <v>34.172463880745283</v>
      </c>
      <c r="BL16">
        <v>2001</v>
      </c>
      <c r="BM16" s="26">
        <v>1798582</v>
      </c>
      <c r="BN16" s="40">
        <v>23573</v>
      </c>
      <c r="BO16" s="18">
        <f t="shared" si="19"/>
        <v>177.042</v>
      </c>
      <c r="BP16" s="26">
        <f t="shared" si="42"/>
        <v>30571.588052552503</v>
      </c>
      <c r="BQ16" s="10">
        <v>2002</v>
      </c>
      <c r="BR16" s="31">
        <f t="shared" si="62"/>
        <v>10.327826361607347</v>
      </c>
      <c r="BS16" s="31">
        <f t="shared" si="43"/>
        <v>14.402509134628643</v>
      </c>
      <c r="BT16" s="32">
        <f t="shared" si="20"/>
        <v>14.093726972090179</v>
      </c>
      <c r="BV16" s="19">
        <f t="shared" si="44"/>
        <v>1798582</v>
      </c>
      <c r="BW16" s="19">
        <f t="shared" si="45"/>
        <v>30571.588052552503</v>
      </c>
      <c r="BY16" s="39" t="s">
        <v>37</v>
      </c>
      <c r="BZ16" s="39">
        <v>0.33824714168168507</v>
      </c>
      <c r="CA16" s="39">
        <v>1</v>
      </c>
      <c r="CC16" s="21">
        <f t="shared" si="21"/>
        <v>2003</v>
      </c>
      <c r="CD16" s="33">
        <f t="shared" si="14"/>
        <v>6.0739818275915658</v>
      </c>
      <c r="CE16" s="33">
        <f t="shared" si="14"/>
        <v>8.4504410012155802</v>
      </c>
      <c r="CF16" s="33">
        <f t="shared" si="14"/>
        <v>8.2660573233820216</v>
      </c>
      <c r="CI16" s="10">
        <f t="shared" si="22"/>
        <v>2003</v>
      </c>
      <c r="CJ16" s="11">
        <f t="shared" si="46"/>
        <v>1055523</v>
      </c>
      <c r="CK16" s="11">
        <f t="shared" si="23"/>
        <v>1317132</v>
      </c>
      <c r="CL16" s="31">
        <f>BR17-BR16*$BU$51</f>
        <v>6.0739818275915658</v>
      </c>
      <c r="CM16" s="31">
        <f>BS17-BS16*$BU$51</f>
        <v>8.4504410012155802</v>
      </c>
      <c r="CN16" s="31">
        <f>BT17-BT16*$BU$51</f>
        <v>8.2660573233820216</v>
      </c>
      <c r="CO16" s="25">
        <f>$CC$44+$CC$45*CL16+$CC$46*CM16</f>
        <v>8.3088802881808483</v>
      </c>
      <c r="CP16" s="25">
        <f>CO16/(1-BU$51)</f>
        <v>14.16201240428923</v>
      </c>
      <c r="CQ16" s="34">
        <f t="shared" si="47"/>
        <v>1414112.104738422</v>
      </c>
      <c r="CR16" s="11">
        <f t="shared" si="48"/>
        <v>1133240.8288700094</v>
      </c>
      <c r="CS16" s="11"/>
      <c r="CT16" s="31">
        <f t="shared" si="49"/>
        <v>1.2216383645289041E-4</v>
      </c>
      <c r="CU16" s="31">
        <f t="shared" si="49"/>
        <v>3.2409448872324043E-5</v>
      </c>
      <c r="CX16" s="25"/>
      <c r="CZ16">
        <f t="shared" si="24"/>
        <v>2003</v>
      </c>
      <c r="DA16" s="19">
        <f t="shared" si="25"/>
        <v>1317.1320000000001</v>
      </c>
      <c r="DB16" s="19">
        <f t="shared" si="26"/>
        <v>1414.112104738422</v>
      </c>
      <c r="DC16" s="19">
        <f t="shared" si="50"/>
        <v>-96.980104738421915</v>
      </c>
      <c r="DD16" s="35">
        <f t="shared" si="51"/>
        <v>9405.1407150752839</v>
      </c>
      <c r="DF16">
        <f t="shared" si="52"/>
        <v>2003</v>
      </c>
      <c r="DG16" s="11">
        <f t="shared" si="52"/>
        <v>1317.1320000000001</v>
      </c>
      <c r="DH16" s="11">
        <f t="shared" si="52"/>
        <v>1414.112104738422</v>
      </c>
      <c r="DI16" s="11">
        <f t="shared" si="55"/>
        <v>1375.372540878147</v>
      </c>
      <c r="DJ16" s="11">
        <f t="shared" si="56"/>
        <v>1394.7423228082844</v>
      </c>
      <c r="DK16" s="11">
        <f t="shared" si="53"/>
        <v>-77.610322808284309</v>
      </c>
      <c r="DL16" s="25">
        <f t="shared" si="54"/>
        <v>6023.3622064060955</v>
      </c>
      <c r="DN16" s="19"/>
      <c r="DO16" s="19">
        <f t="shared" si="57"/>
        <v>6.6203266260545206</v>
      </c>
      <c r="DP16" s="19">
        <f t="shared" si="58"/>
        <v>96.980104738421915</v>
      </c>
      <c r="DQ16" s="19">
        <f t="shared" si="59"/>
        <v>77.610322808284309</v>
      </c>
      <c r="DR16" s="38">
        <f t="shared" si="60"/>
        <v>96.980104738421915</v>
      </c>
      <c r="DS16">
        <f t="shared" si="63"/>
        <v>0</v>
      </c>
      <c r="DT16">
        <f t="shared" si="63"/>
        <v>1</v>
      </c>
      <c r="DU16">
        <f t="shared" si="63"/>
        <v>0</v>
      </c>
    </row>
    <row r="17" spans="1:125" ht="13.5" thickBot="1" x14ac:dyDescent="0.35">
      <c r="A17" s="8" t="s">
        <v>64</v>
      </c>
      <c r="B17" s="8">
        <v>17</v>
      </c>
      <c r="C17" s="1" t="s">
        <v>21</v>
      </c>
      <c r="E17" s="12" t="s">
        <v>62</v>
      </c>
      <c r="F17" s="12">
        <v>2006</v>
      </c>
      <c r="G17" s="16">
        <v>1297720</v>
      </c>
      <c r="H17" s="17">
        <v>38718</v>
      </c>
      <c r="I17" s="18">
        <v>201.55799999999999</v>
      </c>
      <c r="J17" s="19">
        <f t="shared" si="0"/>
        <v>930194</v>
      </c>
      <c r="K17" s="19">
        <f t="shared" si="2"/>
        <v>1478293</v>
      </c>
      <c r="L17" s="19"/>
      <c r="M17" s="20">
        <f t="shared" si="3"/>
        <v>2006</v>
      </c>
      <c r="N17" s="11">
        <f t="shared" si="4"/>
        <v>1478</v>
      </c>
      <c r="O17" s="11">
        <f t="shared" si="7"/>
        <v>100</v>
      </c>
      <c r="P17" s="11">
        <f t="shared" si="11"/>
        <v>1331</v>
      </c>
      <c r="Q17" s="11">
        <f t="shared" si="11"/>
        <v>19</v>
      </c>
      <c r="R17" s="11">
        <f t="shared" si="27"/>
        <v>1369</v>
      </c>
      <c r="S17" s="11">
        <f t="shared" si="28"/>
        <v>109</v>
      </c>
      <c r="T17" s="11">
        <f t="shared" si="61"/>
        <v>11881</v>
      </c>
      <c r="W17" s="20">
        <f t="shared" si="8"/>
        <v>2006</v>
      </c>
      <c r="X17" s="19">
        <f t="shared" si="5"/>
        <v>1478</v>
      </c>
      <c r="Y17" s="11">
        <f t="shared" si="15"/>
        <v>1331</v>
      </c>
      <c r="Z17" s="11">
        <f t="shared" si="29"/>
        <v>147</v>
      </c>
      <c r="AA17" s="11">
        <f t="shared" si="64"/>
        <v>21609</v>
      </c>
      <c r="AC17" s="20">
        <f t="shared" si="1"/>
        <v>2006</v>
      </c>
      <c r="AD17" s="19">
        <f t="shared" si="1"/>
        <v>1478</v>
      </c>
      <c r="AE17" s="11">
        <f t="shared" si="9"/>
        <v>100</v>
      </c>
      <c r="AF17" s="11">
        <f t="shared" si="12"/>
        <v>1338</v>
      </c>
      <c r="AG17" s="11">
        <f t="shared" si="12"/>
        <v>30.5</v>
      </c>
      <c r="AH17" s="11">
        <f t="shared" si="13"/>
        <v>1399</v>
      </c>
      <c r="AI17" s="11">
        <f t="shared" si="30"/>
        <v>79</v>
      </c>
      <c r="AJ17" s="11">
        <f t="shared" si="65"/>
        <v>6241</v>
      </c>
      <c r="AL17" s="20">
        <f t="shared" si="6"/>
        <v>2006</v>
      </c>
      <c r="AM17" s="19">
        <f t="shared" si="6"/>
        <v>1478</v>
      </c>
      <c r="AN17" s="11">
        <f t="shared" si="10"/>
        <v>100</v>
      </c>
      <c r="AO17" s="11">
        <f t="shared" si="31"/>
        <v>1338</v>
      </c>
      <c r="AP17" s="11">
        <f t="shared" si="31"/>
        <v>30.5</v>
      </c>
      <c r="AQ17" s="11">
        <f t="shared" si="32"/>
        <v>1399</v>
      </c>
      <c r="AR17" s="11">
        <f t="shared" si="33"/>
        <v>79</v>
      </c>
      <c r="AS17" s="11">
        <f t="shared" si="34"/>
        <v>6241</v>
      </c>
      <c r="AU17" s="20">
        <f t="shared" si="16"/>
        <v>2002</v>
      </c>
      <c r="AV17" s="11">
        <f t="shared" si="16"/>
        <v>1321</v>
      </c>
      <c r="AW17" s="25">
        <f t="shared" si="35"/>
        <v>1336.5499659985435</v>
      </c>
      <c r="AX17" s="25">
        <f t="shared" si="36"/>
        <v>38.822574879603565</v>
      </c>
      <c r="AY17" s="25">
        <f t="shared" si="37"/>
        <v>1365.4284742815528</v>
      </c>
      <c r="AZ17" s="11">
        <f t="shared" si="66"/>
        <v>-44.428474281552781</v>
      </c>
      <c r="BA17" s="11">
        <f t="shared" si="17"/>
        <v>1973.8893269865969</v>
      </c>
      <c r="BC17" s="20">
        <f t="shared" si="38"/>
        <v>2002</v>
      </c>
      <c r="BD17" s="11">
        <f t="shared" si="38"/>
        <v>1321</v>
      </c>
      <c r="BE17" s="25">
        <f t="shared" si="39"/>
        <v>1336.2679894255839</v>
      </c>
      <c r="BF17" s="25">
        <f t="shared" si="40"/>
        <v>38.494624633525063</v>
      </c>
      <c r="BG17" s="25">
        <f t="shared" si="41"/>
        <v>1364.6228269302396</v>
      </c>
      <c r="BH17" s="11">
        <f t="shared" si="67"/>
        <v>-43.622826930239626</v>
      </c>
      <c r="BI17" s="11">
        <f t="shared" si="18"/>
        <v>1902.9510293856395</v>
      </c>
      <c r="BL17">
        <v>2002</v>
      </c>
      <c r="BM17" s="26">
        <v>1799411</v>
      </c>
      <c r="BN17" s="40">
        <v>24302</v>
      </c>
      <c r="BO17" s="18">
        <f t="shared" si="19"/>
        <v>179.86699999999999</v>
      </c>
      <c r="BP17" s="26">
        <f t="shared" si="42"/>
        <v>31022.012976254682</v>
      </c>
      <c r="BQ17" s="10">
        <v>2003</v>
      </c>
      <c r="BR17" s="31">
        <f t="shared" si="62"/>
        <v>10.342452327476616</v>
      </c>
      <c r="BS17" s="31">
        <f t="shared" si="43"/>
        <v>14.402969947095297</v>
      </c>
      <c r="BT17" s="32">
        <f t="shared" si="20"/>
        <v>14.090967203493381</v>
      </c>
      <c r="BV17" s="19">
        <f t="shared" si="44"/>
        <v>1799411</v>
      </c>
      <c r="BW17" s="19">
        <f t="shared" si="45"/>
        <v>31022.012976254682</v>
      </c>
      <c r="CC17" s="21">
        <f t="shared" si="21"/>
        <v>2004</v>
      </c>
      <c r="CD17" s="33">
        <f t="shared" si="14"/>
        <v>6.0644145746245339</v>
      </c>
      <c r="CE17" s="33">
        <f t="shared" si="14"/>
        <v>8.4518203851271458</v>
      </c>
      <c r="CF17" s="33">
        <f t="shared" si="14"/>
        <v>8.2528231889667527</v>
      </c>
      <c r="CI17" s="10">
        <f t="shared" si="22"/>
        <v>2004</v>
      </c>
      <c r="CJ17" s="11">
        <f t="shared" si="46"/>
        <v>1068212</v>
      </c>
      <c r="CK17" s="11">
        <f t="shared" si="23"/>
        <v>1298334</v>
      </c>
      <c r="CL17" s="31">
        <f>BR18-BR17*$BU$51</f>
        <v>6.0644145746245339</v>
      </c>
      <c r="CM17" s="31">
        <f>BS18-BS17*$BU$51</f>
        <v>8.4518203851271458</v>
      </c>
      <c r="CN17" s="31">
        <f>BT18-BT17*$BU$51</f>
        <v>8.2528231889667527</v>
      </c>
      <c r="CO17" s="25">
        <f>$CC$44+$CC$45*CL17+$CC$46*CM17</f>
        <v>8.2961188097978731</v>
      </c>
      <c r="CP17" s="25">
        <f>CO17/(1-BU$51)</f>
        <v>14.140261192466641</v>
      </c>
      <c r="CQ17" s="34">
        <f t="shared" si="47"/>
        <v>1383685.5595180932</v>
      </c>
      <c r="CR17" s="11">
        <f t="shared" si="48"/>
        <v>1138435.1826511906</v>
      </c>
      <c r="CS17" s="11"/>
      <c r="CT17" s="31">
        <f t="shared" si="49"/>
        <v>2.2067758787415347E-6</v>
      </c>
      <c r="CU17" s="31">
        <f t="shared" si="49"/>
        <v>1.8606677498641221E-5</v>
      </c>
      <c r="CX17" s="25"/>
      <c r="CZ17">
        <f t="shared" si="24"/>
        <v>2004</v>
      </c>
      <c r="DA17" s="19">
        <f t="shared" si="25"/>
        <v>1298.3340000000001</v>
      </c>
      <c r="DB17" s="19">
        <f t="shared" si="26"/>
        <v>1383.6855595180932</v>
      </c>
      <c r="DC17" s="19">
        <f t="shared" si="50"/>
        <v>-85.351559518093154</v>
      </c>
      <c r="DD17" s="35">
        <f t="shared" si="51"/>
        <v>7284.8887121705984</v>
      </c>
      <c r="DF17">
        <f t="shared" si="52"/>
        <v>2004</v>
      </c>
      <c r="DG17" s="11">
        <f t="shared" si="52"/>
        <v>1298.3340000000001</v>
      </c>
      <c r="DH17" s="11">
        <f t="shared" si="52"/>
        <v>1383.6855595180932</v>
      </c>
      <c r="DI17" s="11">
        <f t="shared" si="55"/>
        <v>1375.8735426712472</v>
      </c>
      <c r="DJ17" s="11">
        <f t="shared" si="56"/>
        <v>1379.7795510946703</v>
      </c>
      <c r="DK17" s="11">
        <f t="shared" si="53"/>
        <v>-81.445551094670236</v>
      </c>
      <c r="DL17" s="25">
        <f t="shared" si="54"/>
        <v>6633.3777931145405</v>
      </c>
      <c r="DN17" s="19"/>
      <c r="DO17" s="19">
        <f t="shared" si="57"/>
        <v>44.428474281552781</v>
      </c>
      <c r="DP17" s="19">
        <f t="shared" si="58"/>
        <v>85.351559518093154</v>
      </c>
      <c r="DQ17" s="19">
        <f t="shared" si="59"/>
        <v>81.445551094670236</v>
      </c>
      <c r="DR17" s="38">
        <f t="shared" si="60"/>
        <v>85.351559518093154</v>
      </c>
      <c r="DS17">
        <f t="shared" si="63"/>
        <v>0</v>
      </c>
      <c r="DT17">
        <f t="shared" si="63"/>
        <v>1</v>
      </c>
      <c r="DU17">
        <f t="shared" si="63"/>
        <v>0</v>
      </c>
    </row>
    <row r="18" spans="1:125" ht="13" x14ac:dyDescent="0.3">
      <c r="A18" s="8" t="s">
        <v>65</v>
      </c>
      <c r="B18" s="8">
        <v>18</v>
      </c>
      <c r="C18" s="1" t="s">
        <v>21</v>
      </c>
      <c r="E18" s="12" t="s">
        <v>62</v>
      </c>
      <c r="F18" s="12">
        <v>2007</v>
      </c>
      <c r="G18" s="16">
        <v>1360511</v>
      </c>
      <c r="H18" s="17">
        <v>39083</v>
      </c>
      <c r="I18" s="18">
        <v>207.34399999999999</v>
      </c>
      <c r="J18" s="19">
        <f t="shared" si="0"/>
        <v>947989</v>
      </c>
      <c r="K18" s="19">
        <f t="shared" si="2"/>
        <v>1506572</v>
      </c>
      <c r="L18" s="19"/>
      <c r="M18" s="20">
        <f t="shared" si="3"/>
        <v>2007</v>
      </c>
      <c r="N18" s="11">
        <f t="shared" si="4"/>
        <v>1507</v>
      </c>
      <c r="O18" s="11">
        <f t="shared" si="7"/>
        <v>29</v>
      </c>
      <c r="P18" s="11">
        <f t="shared" si="11"/>
        <v>1384.6666666666667</v>
      </c>
      <c r="Q18" s="11">
        <f t="shared" si="11"/>
        <v>53.666666666666664</v>
      </c>
      <c r="R18" s="11">
        <f t="shared" si="27"/>
        <v>1492</v>
      </c>
      <c r="S18" s="11">
        <f t="shared" si="28"/>
        <v>15</v>
      </c>
      <c r="T18" s="11">
        <f t="shared" si="61"/>
        <v>225</v>
      </c>
      <c r="W18" s="20">
        <f t="shared" si="8"/>
        <v>2007</v>
      </c>
      <c r="X18" s="19">
        <f t="shared" si="5"/>
        <v>1507</v>
      </c>
      <c r="Y18" s="11">
        <f t="shared" si="15"/>
        <v>1384.6666666666667</v>
      </c>
      <c r="Z18" s="11">
        <f t="shared" si="29"/>
        <v>122.33333333333326</v>
      </c>
      <c r="AA18" s="11">
        <f t="shared" si="64"/>
        <v>14965.444444444425</v>
      </c>
      <c r="AC18" s="20">
        <f t="shared" si="1"/>
        <v>2007</v>
      </c>
      <c r="AD18" s="19">
        <f t="shared" si="1"/>
        <v>1507</v>
      </c>
      <c r="AE18" s="11">
        <f t="shared" si="9"/>
        <v>29</v>
      </c>
      <c r="AF18" s="11">
        <f t="shared" si="12"/>
        <v>1428</v>
      </c>
      <c r="AG18" s="11">
        <f t="shared" si="12"/>
        <v>90</v>
      </c>
      <c r="AH18" s="11">
        <f t="shared" si="13"/>
        <v>1608</v>
      </c>
      <c r="AI18" s="11">
        <f t="shared" si="30"/>
        <v>-101</v>
      </c>
      <c r="AJ18" s="11">
        <f t="shared" si="65"/>
        <v>10201</v>
      </c>
      <c r="AL18" s="20">
        <f t="shared" si="6"/>
        <v>2007</v>
      </c>
      <c r="AM18" s="19">
        <f t="shared" si="6"/>
        <v>1507</v>
      </c>
      <c r="AN18" s="11">
        <f t="shared" si="10"/>
        <v>29</v>
      </c>
      <c r="AO18" s="11">
        <f t="shared" si="31"/>
        <v>1428</v>
      </c>
      <c r="AP18" s="11">
        <f t="shared" si="31"/>
        <v>90</v>
      </c>
      <c r="AQ18" s="11">
        <f t="shared" si="32"/>
        <v>1608</v>
      </c>
      <c r="AR18" s="11">
        <f t="shared" si="33"/>
        <v>-101</v>
      </c>
      <c r="AS18" s="11">
        <f t="shared" si="34"/>
        <v>10201</v>
      </c>
      <c r="AU18" s="20">
        <f t="shared" si="16"/>
        <v>2003</v>
      </c>
      <c r="AV18" s="11">
        <f t="shared" si="16"/>
        <v>1317</v>
      </c>
      <c r="AW18" s="25">
        <f t="shared" si="35"/>
        <v>1337.4303893073516</v>
      </c>
      <c r="AX18" s="25">
        <f t="shared" si="36"/>
        <v>38.443153363895611</v>
      </c>
      <c r="AY18" s="25">
        <f t="shared" si="37"/>
        <v>1375.372540878147</v>
      </c>
      <c r="AZ18" s="11">
        <f t="shared" si="66"/>
        <v>-58.372540878146992</v>
      </c>
      <c r="BA18" s="11">
        <f t="shared" si="17"/>
        <v>3407.3535285709418</v>
      </c>
      <c r="BC18" s="20">
        <f t="shared" si="38"/>
        <v>2003</v>
      </c>
      <c r="BD18" s="11">
        <f t="shared" si="38"/>
        <v>1317</v>
      </c>
      <c r="BE18" s="25">
        <f t="shared" si="39"/>
        <v>1337.2169149206882</v>
      </c>
      <c r="BF18" s="25">
        <f t="shared" si="40"/>
        <v>38.398367394832434</v>
      </c>
      <c r="BG18" s="25">
        <f t="shared" si="41"/>
        <v>1374.762614059109</v>
      </c>
      <c r="BH18" s="11">
        <f t="shared" si="67"/>
        <v>-57.762614059108955</v>
      </c>
      <c r="BI18" s="11">
        <f t="shared" si="18"/>
        <v>3336.5195829415716</v>
      </c>
      <c r="BL18">
        <v>2003</v>
      </c>
      <c r="BM18" s="26">
        <v>1802238</v>
      </c>
      <c r="BN18" s="40">
        <v>24773</v>
      </c>
      <c r="BO18" s="18">
        <f t="shared" si="19"/>
        <v>184</v>
      </c>
      <c r="BP18" s="26">
        <f t="shared" si="42"/>
        <v>30912.934195652175</v>
      </c>
      <c r="BQ18" s="10">
        <v>2004</v>
      </c>
      <c r="BR18" s="31">
        <f t="shared" si="62"/>
        <v>10.338929957688235</v>
      </c>
      <c r="BS18" s="31">
        <f t="shared" si="43"/>
        <v>14.404539783900921</v>
      </c>
      <c r="BT18" s="32">
        <f t="shared" si="20"/>
        <v>14.076592462097564</v>
      </c>
      <c r="BV18" s="19">
        <f t="shared" si="44"/>
        <v>1802238</v>
      </c>
      <c r="BW18" s="19">
        <f t="shared" si="45"/>
        <v>30912.934195652175</v>
      </c>
      <c r="BY18" s="37"/>
      <c r="BZ18" s="37" t="s">
        <v>38</v>
      </c>
      <c r="CA18" s="37" t="s">
        <v>39</v>
      </c>
      <c r="CC18" s="21">
        <f t="shared" si="21"/>
        <v>2005</v>
      </c>
      <c r="CD18" s="33">
        <f t="shared" si="14"/>
        <v>6.0723449345430005</v>
      </c>
      <c r="CE18" s="33">
        <f t="shared" si="14"/>
        <v>8.4517617775076026</v>
      </c>
      <c r="CF18" s="33">
        <f t="shared" si="14"/>
        <v>8.3183713865415534</v>
      </c>
      <c r="CI18" s="10">
        <f t="shared" si="22"/>
        <v>2005</v>
      </c>
      <c r="CJ18" s="11">
        <f t="shared" si="46"/>
        <v>1171987</v>
      </c>
      <c r="CK18" s="11">
        <f t="shared" si="23"/>
        <v>1378077</v>
      </c>
      <c r="CL18" s="31">
        <f>BR19-BR18*$BU$51</f>
        <v>6.0723449345430005</v>
      </c>
      <c r="CM18" s="31">
        <f>BS19-BS18*$BU$51</f>
        <v>8.4517617775076026</v>
      </c>
      <c r="CN18" s="31">
        <f>BT19-BT18*$BU$51</f>
        <v>8.3183713865415534</v>
      </c>
      <c r="CO18" s="25">
        <f>$CC$44+$CC$45*CL18+$CC$46*CM18</f>
        <v>8.3095365397490539</v>
      </c>
      <c r="CP18" s="25">
        <f>CO18/(1-BU$51)</f>
        <v>14.163130947646087</v>
      </c>
      <c r="CQ18" s="34">
        <f t="shared" si="47"/>
        <v>1415694.7353945232</v>
      </c>
      <c r="CR18" s="11">
        <f t="shared" si="48"/>
        <v>1203979.3030447308</v>
      </c>
      <c r="CS18" s="11"/>
      <c r="CT18" s="31">
        <f t="shared" si="49"/>
        <v>8.8658833990161399E-5</v>
      </c>
      <c r="CU18" s="31">
        <f t="shared" si="49"/>
        <v>1.911572565573274E-5</v>
      </c>
      <c r="CX18" s="25"/>
      <c r="CZ18">
        <f t="shared" si="24"/>
        <v>2005</v>
      </c>
      <c r="DA18" s="19">
        <f t="shared" si="25"/>
        <v>1378.077</v>
      </c>
      <c r="DB18" s="19">
        <f t="shared" si="26"/>
        <v>1415.6947353945231</v>
      </c>
      <c r="DC18" s="19">
        <f t="shared" si="50"/>
        <v>-37.617735394523152</v>
      </c>
      <c r="DD18" s="35">
        <f t="shared" si="51"/>
        <v>1415.09401621236</v>
      </c>
      <c r="DF18">
        <f t="shared" si="52"/>
        <v>2005</v>
      </c>
      <c r="DG18" s="11">
        <f t="shared" si="52"/>
        <v>1378.077</v>
      </c>
      <c r="DH18" s="11">
        <f t="shared" si="52"/>
        <v>1415.6947353945231</v>
      </c>
      <c r="DI18" s="11">
        <f t="shared" si="55"/>
        <v>1363.1927152714688</v>
      </c>
      <c r="DJ18" s="11">
        <f t="shared" si="56"/>
        <v>1389.4437253329961</v>
      </c>
      <c r="DK18" s="11">
        <f t="shared" si="53"/>
        <v>-11.366725332996111</v>
      </c>
      <c r="DL18" s="25">
        <f t="shared" si="54"/>
        <v>129.20244479577556</v>
      </c>
      <c r="DN18" s="19"/>
      <c r="DO18" s="19">
        <f t="shared" si="57"/>
        <v>58.372540878146992</v>
      </c>
      <c r="DP18" s="19">
        <f t="shared" si="58"/>
        <v>37.617735394523152</v>
      </c>
      <c r="DQ18" s="19">
        <f t="shared" si="59"/>
        <v>11.366725332996111</v>
      </c>
      <c r="DR18" s="38">
        <f t="shared" si="60"/>
        <v>58.372540878146992</v>
      </c>
      <c r="DS18">
        <f t="shared" si="63"/>
        <v>1</v>
      </c>
      <c r="DT18">
        <f t="shared" si="63"/>
        <v>0</v>
      </c>
      <c r="DU18">
        <f t="shared" si="63"/>
        <v>0</v>
      </c>
    </row>
    <row r="19" spans="1:125" ht="13" x14ac:dyDescent="0.3">
      <c r="A19" s="8" t="s">
        <v>66</v>
      </c>
      <c r="B19" s="8">
        <v>19</v>
      </c>
      <c r="C19" s="1" t="s">
        <v>21</v>
      </c>
      <c r="E19" s="12" t="s">
        <v>62</v>
      </c>
      <c r="F19" s="12">
        <v>2008</v>
      </c>
      <c r="G19" s="16">
        <v>1518746</v>
      </c>
      <c r="H19" s="17">
        <v>39448</v>
      </c>
      <c r="I19" s="18">
        <v>215.25399999999999</v>
      </c>
      <c r="J19" s="19">
        <f t="shared" si="0"/>
        <v>1019358</v>
      </c>
      <c r="K19" s="19">
        <f t="shared" si="2"/>
        <v>1619994</v>
      </c>
      <c r="L19" s="19"/>
      <c r="M19" s="20">
        <f t="shared" si="3"/>
        <v>2008</v>
      </c>
      <c r="N19" s="11">
        <f t="shared" si="4"/>
        <v>1620</v>
      </c>
      <c r="O19" s="11">
        <f t="shared" si="7"/>
        <v>113</v>
      </c>
      <c r="P19" s="11">
        <f t="shared" si="11"/>
        <v>1454.3333333333333</v>
      </c>
      <c r="Q19" s="11">
        <f t="shared" si="11"/>
        <v>69.666666666666671</v>
      </c>
      <c r="R19" s="11">
        <f t="shared" si="27"/>
        <v>1593.6666666666665</v>
      </c>
      <c r="S19" s="11">
        <f t="shared" si="28"/>
        <v>26.333333333333485</v>
      </c>
      <c r="T19" s="11">
        <f t="shared" si="61"/>
        <v>693.44444444445242</v>
      </c>
      <c r="W19" s="20">
        <f t="shared" si="8"/>
        <v>2008</v>
      </c>
      <c r="X19" s="19">
        <f t="shared" si="5"/>
        <v>1620</v>
      </c>
      <c r="Y19" s="11">
        <f t="shared" si="15"/>
        <v>1454.3333333333333</v>
      </c>
      <c r="Z19" s="11">
        <f t="shared" si="29"/>
        <v>165.66666666666674</v>
      </c>
      <c r="AA19" s="11">
        <f t="shared" si="64"/>
        <v>27445.444444444471</v>
      </c>
      <c r="AC19" s="20">
        <f t="shared" si="1"/>
        <v>2008</v>
      </c>
      <c r="AD19" s="19">
        <f t="shared" si="1"/>
        <v>1620</v>
      </c>
      <c r="AE19" s="11">
        <f t="shared" si="9"/>
        <v>113</v>
      </c>
      <c r="AF19" s="11">
        <f t="shared" si="12"/>
        <v>1492.5</v>
      </c>
      <c r="AG19" s="11">
        <f t="shared" si="12"/>
        <v>64.5</v>
      </c>
      <c r="AH19" s="11">
        <f t="shared" si="13"/>
        <v>1621.5</v>
      </c>
      <c r="AI19" s="11">
        <f t="shared" si="30"/>
        <v>-1.5</v>
      </c>
      <c r="AJ19" s="11">
        <f t="shared" si="65"/>
        <v>2.25</v>
      </c>
      <c r="AL19" s="20">
        <f t="shared" si="6"/>
        <v>2008</v>
      </c>
      <c r="AM19" s="19">
        <f t="shared" si="6"/>
        <v>1620</v>
      </c>
      <c r="AN19" s="11">
        <f t="shared" si="10"/>
        <v>113</v>
      </c>
      <c r="AO19" s="11">
        <f t="shared" si="31"/>
        <v>1492.5</v>
      </c>
      <c r="AP19" s="11">
        <f t="shared" si="31"/>
        <v>64.5</v>
      </c>
      <c r="AQ19" s="11">
        <f t="shared" si="32"/>
        <v>1621.5</v>
      </c>
      <c r="AR19" s="11">
        <f t="shared" si="33"/>
        <v>-1.5</v>
      </c>
      <c r="AS19" s="11">
        <f t="shared" si="34"/>
        <v>2.25</v>
      </c>
      <c r="AU19" s="20">
        <f t="shared" si="16"/>
        <v>2004</v>
      </c>
      <c r="AV19" s="11">
        <f t="shared" si="16"/>
        <v>1298</v>
      </c>
      <c r="AW19" s="25">
        <f t="shared" si="35"/>
        <v>1325.2557399349364</v>
      </c>
      <c r="AX19" s="25">
        <f t="shared" si="36"/>
        <v>37.936975336532505</v>
      </c>
      <c r="AY19" s="25">
        <f t="shared" si="37"/>
        <v>1375.8735426712472</v>
      </c>
      <c r="AZ19" s="11">
        <f t="shared" si="66"/>
        <v>-77.873542671247151</v>
      </c>
      <c r="BA19" s="11">
        <f t="shared" si="17"/>
        <v>6064.2886481705509</v>
      </c>
      <c r="BC19" s="20">
        <f t="shared" si="38"/>
        <v>2004</v>
      </c>
      <c r="BD19" s="11">
        <f t="shared" si="38"/>
        <v>1298</v>
      </c>
      <c r="BE19" s="25">
        <f t="shared" si="39"/>
        <v>1325.1653488104321</v>
      </c>
      <c r="BF19" s="25">
        <f t="shared" si="40"/>
        <v>38.28235374512208</v>
      </c>
      <c r="BG19" s="25">
        <f t="shared" si="41"/>
        <v>1375.6152823155205</v>
      </c>
      <c r="BH19" s="11">
        <f t="shared" si="67"/>
        <v>-77.615282315520517</v>
      </c>
      <c r="BI19" s="11">
        <f t="shared" si="18"/>
        <v>6024.1320489179516</v>
      </c>
      <c r="BL19">
        <v>2004</v>
      </c>
      <c r="BM19" s="26">
        <v>1803302</v>
      </c>
      <c r="BN19" s="40">
        <v>25599</v>
      </c>
      <c r="BO19" s="18">
        <f t="shared" si="19"/>
        <v>188.90799999999999</v>
      </c>
      <c r="BP19" s="26">
        <f t="shared" si="42"/>
        <v>31113.731530692192</v>
      </c>
      <c r="BQ19" s="10">
        <v>2005</v>
      </c>
      <c r="BR19" s="31">
        <f t="shared" si="62"/>
        <v>10.345404529040456</v>
      </c>
      <c r="BS19" s="31">
        <f t="shared" si="43"/>
        <v>14.40512998677255</v>
      </c>
      <c r="BT19" s="32">
        <f t="shared" si="20"/>
        <v>14.136199607078799</v>
      </c>
      <c r="BV19" s="19">
        <f t="shared" si="44"/>
        <v>1803302</v>
      </c>
      <c r="BW19" s="19">
        <f t="shared" si="45"/>
        <v>31113.731530692192</v>
      </c>
      <c r="BY19" t="s">
        <v>38</v>
      </c>
      <c r="BZ19">
        <v>1</v>
      </c>
      <c r="CC19" s="21">
        <f t="shared" si="21"/>
        <v>2006</v>
      </c>
      <c r="CD19" s="33">
        <f t="shared" si="14"/>
        <v>6.0689994628675894</v>
      </c>
      <c r="CE19" s="33">
        <f t="shared" si="14"/>
        <v>8.4518604937622719</v>
      </c>
      <c r="CF19" s="33">
        <f t="shared" si="14"/>
        <v>8.3639348643626619</v>
      </c>
      <c r="CI19" s="10">
        <f t="shared" si="22"/>
        <v>2006</v>
      </c>
      <c r="CJ19" s="11">
        <f t="shared" si="46"/>
        <v>1297720</v>
      </c>
      <c r="CK19" s="11">
        <f t="shared" si="23"/>
        <v>1478293</v>
      </c>
      <c r="CL19" s="31">
        <f>BR20-BR19*$BU$51</f>
        <v>6.0689994628675894</v>
      </c>
      <c r="CM19" s="31">
        <f>BS20-BS19*$BU$51</f>
        <v>8.4518604937622719</v>
      </c>
      <c r="CN19" s="31">
        <f>BT20-BT19*$BU$51</f>
        <v>8.3639348643626619</v>
      </c>
      <c r="CO19" s="25">
        <f>$CC$44+$CC$45*CL19+$CC$46*CM19</f>
        <v>8.3040698795164563</v>
      </c>
      <c r="CP19" s="25">
        <f>CO19/(1-BU$51)</f>
        <v>14.153813337169233</v>
      </c>
      <c r="CQ19" s="34">
        <f t="shared" si="47"/>
        <v>1402565.1066694572</v>
      </c>
      <c r="CR19" s="11">
        <f t="shared" si="48"/>
        <v>1231242.5644591663</v>
      </c>
      <c r="CS19" s="11"/>
      <c r="CT19" s="31">
        <f t="shared" si="49"/>
        <v>3.6849881607022769E-5</v>
      </c>
      <c r="CU19" s="31">
        <f t="shared" si="49"/>
        <v>1.8262265330861265E-5</v>
      </c>
      <c r="CX19" s="25"/>
      <c r="CZ19">
        <f t="shared" si="24"/>
        <v>2006</v>
      </c>
      <c r="DA19" s="19">
        <f t="shared" si="25"/>
        <v>1478.2929999999999</v>
      </c>
      <c r="DB19" s="19">
        <f t="shared" si="26"/>
        <v>1402.5651066694572</v>
      </c>
      <c r="DC19" s="19">
        <f t="shared" si="50"/>
        <v>75.727893330542656</v>
      </c>
      <c r="DD19" s="35">
        <f t="shared" si="51"/>
        <v>5734.713828282047</v>
      </c>
      <c r="DF19">
        <f t="shared" si="52"/>
        <v>2006</v>
      </c>
      <c r="DG19" s="11">
        <f t="shared" si="52"/>
        <v>1478.2929999999999</v>
      </c>
      <c r="DH19" s="11">
        <f t="shared" si="52"/>
        <v>1402.5651066694572</v>
      </c>
      <c r="DI19" s="11">
        <f t="shared" si="55"/>
        <v>1410.850673032282</v>
      </c>
      <c r="DJ19" s="11">
        <f t="shared" si="56"/>
        <v>1406.7078898508696</v>
      </c>
      <c r="DK19" s="11">
        <f t="shared" si="53"/>
        <v>71.585110149130287</v>
      </c>
      <c r="DL19" s="25">
        <f t="shared" si="54"/>
        <v>5124.4279950631162</v>
      </c>
      <c r="DN19" s="19"/>
      <c r="DO19" s="19">
        <f t="shared" si="57"/>
        <v>77.873542671247151</v>
      </c>
      <c r="DP19" s="19">
        <f t="shared" si="58"/>
        <v>75.727893330542656</v>
      </c>
      <c r="DQ19" s="19">
        <f t="shared" si="59"/>
        <v>71.585110149130287</v>
      </c>
      <c r="DR19" s="38">
        <f t="shared" si="60"/>
        <v>77.873542671247151</v>
      </c>
      <c r="DS19">
        <f t="shared" si="63"/>
        <v>1</v>
      </c>
      <c r="DT19">
        <f t="shared" si="63"/>
        <v>0</v>
      </c>
      <c r="DU19">
        <f t="shared" si="63"/>
        <v>0</v>
      </c>
    </row>
    <row r="20" spans="1:125" ht="13.5" thickBot="1" x14ac:dyDescent="0.35">
      <c r="A20" s="8" t="s">
        <v>67</v>
      </c>
      <c r="B20" s="8">
        <v>20</v>
      </c>
      <c r="C20" s="1" t="s">
        <v>21</v>
      </c>
      <c r="E20" s="12" t="s">
        <v>62</v>
      </c>
      <c r="F20" s="12">
        <v>2009</v>
      </c>
      <c r="G20" s="16">
        <v>1557403</v>
      </c>
      <c r="H20" s="17">
        <v>39814</v>
      </c>
      <c r="I20" s="18">
        <v>214.56700000000001</v>
      </c>
      <c r="J20" s="19">
        <f t="shared" si="0"/>
        <v>1048651</v>
      </c>
      <c r="K20" s="19">
        <f t="shared" si="2"/>
        <v>1666547</v>
      </c>
      <c r="L20" s="19"/>
      <c r="M20" s="20">
        <f t="shared" si="3"/>
        <v>2009</v>
      </c>
      <c r="N20" s="11">
        <f t="shared" si="4"/>
        <v>1667</v>
      </c>
      <c r="O20" s="11">
        <f t="shared" si="7"/>
        <v>47</v>
      </c>
      <c r="P20" s="11">
        <f t="shared" si="11"/>
        <v>1535</v>
      </c>
      <c r="Q20" s="11">
        <f t="shared" si="11"/>
        <v>80.666666666666671</v>
      </c>
      <c r="R20" s="11">
        <f t="shared" si="27"/>
        <v>1696.3333333333333</v>
      </c>
      <c r="S20" s="11">
        <f t="shared" si="28"/>
        <v>-29.333333333333258</v>
      </c>
      <c r="T20" s="11">
        <f t="shared" si="61"/>
        <v>860.44444444444002</v>
      </c>
      <c r="W20" s="20">
        <f t="shared" si="8"/>
        <v>2009</v>
      </c>
      <c r="X20" s="19">
        <f t="shared" si="5"/>
        <v>1667</v>
      </c>
      <c r="Y20" s="11">
        <f t="shared" si="15"/>
        <v>1535</v>
      </c>
      <c r="Z20" s="11">
        <f t="shared" si="29"/>
        <v>132</v>
      </c>
      <c r="AA20" s="11">
        <f t="shared" si="64"/>
        <v>17424</v>
      </c>
      <c r="AC20" s="20">
        <f t="shared" si="1"/>
        <v>2009</v>
      </c>
      <c r="AD20" s="19">
        <f t="shared" si="1"/>
        <v>1667</v>
      </c>
      <c r="AE20" s="11">
        <f t="shared" si="9"/>
        <v>47</v>
      </c>
      <c r="AF20" s="11">
        <f t="shared" si="12"/>
        <v>1563.5</v>
      </c>
      <c r="AG20" s="11">
        <f t="shared" si="12"/>
        <v>71</v>
      </c>
      <c r="AH20" s="11">
        <f t="shared" si="13"/>
        <v>1705.5</v>
      </c>
      <c r="AI20" s="11">
        <f t="shared" si="30"/>
        <v>-38.5</v>
      </c>
      <c r="AJ20" s="11">
        <f t="shared" si="65"/>
        <v>1482.25</v>
      </c>
      <c r="AL20" s="20">
        <f t="shared" si="6"/>
        <v>2009</v>
      </c>
      <c r="AM20" s="19">
        <f t="shared" si="6"/>
        <v>1667</v>
      </c>
      <c r="AN20" s="11">
        <f t="shared" si="10"/>
        <v>47</v>
      </c>
      <c r="AO20" s="11">
        <f t="shared" si="31"/>
        <v>1563.5</v>
      </c>
      <c r="AP20" s="11">
        <f t="shared" si="31"/>
        <v>71</v>
      </c>
      <c r="AQ20" s="11">
        <f t="shared" si="32"/>
        <v>1705.5</v>
      </c>
      <c r="AR20" s="11">
        <f t="shared" si="33"/>
        <v>-38.5</v>
      </c>
      <c r="AS20" s="11">
        <f t="shared" si="34"/>
        <v>1482.25</v>
      </c>
      <c r="AU20" s="20">
        <f t="shared" si="16"/>
        <v>2005</v>
      </c>
      <c r="AV20" s="11">
        <f t="shared" si="16"/>
        <v>1378</v>
      </c>
      <c r="AW20" s="25">
        <f t="shared" si="35"/>
        <v>1372.8174503450141</v>
      </c>
      <c r="AX20" s="25">
        <f t="shared" si="36"/>
        <v>38.033222687267958</v>
      </c>
      <c r="AY20" s="25">
        <f t="shared" si="37"/>
        <v>1363.1927152714688</v>
      </c>
      <c r="AZ20" s="11">
        <f t="shared" si="66"/>
        <v>14.807284728531158</v>
      </c>
      <c r="BA20" s="11">
        <f t="shared" si="17"/>
        <v>219.25568103179205</v>
      </c>
      <c r="BC20" s="20">
        <f t="shared" si="38"/>
        <v>2005</v>
      </c>
      <c r="BD20" s="11">
        <f t="shared" si="38"/>
        <v>1378</v>
      </c>
      <c r="BE20" s="25">
        <f t="shared" si="39"/>
        <v>1372.9066958944438</v>
      </c>
      <c r="BF20" s="25">
        <f t="shared" si="40"/>
        <v>38.258623688821402</v>
      </c>
      <c r="BG20" s="25">
        <f t="shared" si="41"/>
        <v>1363.4477025555541</v>
      </c>
      <c r="BH20" s="11">
        <f t="shared" si="67"/>
        <v>14.552297444445912</v>
      </c>
      <c r="BI20" s="11">
        <f t="shared" si="18"/>
        <v>211.76936091162702</v>
      </c>
      <c r="BL20">
        <v>2005</v>
      </c>
      <c r="BM20" s="26">
        <v>1803920</v>
      </c>
      <c r="BN20" s="40">
        <v>26443</v>
      </c>
      <c r="BO20" s="18">
        <f t="shared" si="19"/>
        <v>195.267</v>
      </c>
      <c r="BP20" s="26">
        <f t="shared" si="42"/>
        <v>31092.906492136412</v>
      </c>
      <c r="BQ20" s="10">
        <v>2006</v>
      </c>
      <c r="BR20" s="31">
        <f t="shared" si="62"/>
        <v>10.344734985081946</v>
      </c>
      <c r="BS20" s="31">
        <f t="shared" si="43"/>
        <v>14.405472632723393</v>
      </c>
      <c r="BT20" s="32">
        <f t="shared" si="20"/>
        <v>14.206398601709195</v>
      </c>
      <c r="BV20" s="19">
        <f t="shared" si="44"/>
        <v>1803920</v>
      </c>
      <c r="BW20" s="19">
        <f t="shared" si="45"/>
        <v>31092.906492136412</v>
      </c>
      <c r="BY20" s="39" t="s">
        <v>39</v>
      </c>
      <c r="BZ20" s="39">
        <v>0.30738396850289845</v>
      </c>
      <c r="CA20" s="39">
        <v>1</v>
      </c>
      <c r="CC20" s="21">
        <f t="shared" si="21"/>
        <v>2007</v>
      </c>
      <c r="CD20" s="33">
        <f t="shared" si="14"/>
        <v>6.107978126057283</v>
      </c>
      <c r="CE20" s="33">
        <f t="shared" si="14"/>
        <v>8.4535559637226871</v>
      </c>
      <c r="CF20" s="33">
        <f t="shared" si="14"/>
        <v>8.3538705843421894</v>
      </c>
      <c r="CI20" s="10">
        <f t="shared" si="22"/>
        <v>2007</v>
      </c>
      <c r="CJ20" s="11">
        <f t="shared" si="46"/>
        <v>1360511</v>
      </c>
      <c r="CK20" s="11">
        <f t="shared" si="23"/>
        <v>1506572</v>
      </c>
      <c r="CL20" s="31">
        <f>BR21-BR20*$BU$51</f>
        <v>6.107978126057283</v>
      </c>
      <c r="CM20" s="31">
        <f>BS21-BS20*$BU$51</f>
        <v>8.4535559637226871</v>
      </c>
      <c r="CN20" s="31">
        <f>BT21-BT20*$BU$51</f>
        <v>8.3538705843421894</v>
      </c>
      <c r="CO20" s="25">
        <f>$CC$44+$CC$45*CL20+$CC$46*CM20</f>
        <v>8.3752119976714905</v>
      </c>
      <c r="CP20" s="25">
        <f>CO20/(1-BU$51)</f>
        <v>14.27507101869007</v>
      </c>
      <c r="CQ20" s="34">
        <f t="shared" si="47"/>
        <v>1583377.8752598232</v>
      </c>
      <c r="CR20" s="11">
        <f t="shared" si="48"/>
        <v>1429870.133655654</v>
      </c>
      <c r="CS20" s="11"/>
      <c r="CT20" s="31">
        <f t="shared" si="49"/>
        <v>2.0294190252235856E-3</v>
      </c>
      <c r="CU20" s="31">
        <f t="shared" si="49"/>
        <v>6.6459149849246876E-6</v>
      </c>
      <c r="CX20" s="25"/>
      <c r="CZ20">
        <f t="shared" si="24"/>
        <v>2007</v>
      </c>
      <c r="DA20" s="19">
        <f t="shared" si="25"/>
        <v>1506.5719999999999</v>
      </c>
      <c r="DB20" s="19">
        <f t="shared" si="26"/>
        <v>1583.3778752598232</v>
      </c>
      <c r="DC20" s="19">
        <f t="shared" si="50"/>
        <v>-76.805875259823324</v>
      </c>
      <c r="DD20" s="35">
        <f t="shared" si="51"/>
        <v>5899.1424744275409</v>
      </c>
      <c r="DF20">
        <f t="shared" si="52"/>
        <v>2007</v>
      </c>
      <c r="DG20" s="11">
        <f t="shared" si="52"/>
        <v>1506.5719999999999</v>
      </c>
      <c r="DH20" s="11">
        <f t="shared" si="52"/>
        <v>1583.3778752598232</v>
      </c>
      <c r="DI20" s="11">
        <f t="shared" si="55"/>
        <v>1492.9674288738568</v>
      </c>
      <c r="DJ20" s="11">
        <f t="shared" si="56"/>
        <v>1538.1726520668399</v>
      </c>
      <c r="DK20" s="11">
        <f t="shared" si="53"/>
        <v>-31.600652066839984</v>
      </c>
      <c r="DL20" s="25">
        <f t="shared" si="54"/>
        <v>998.60121104947814</v>
      </c>
      <c r="DN20" s="19"/>
      <c r="DO20" s="19">
        <f t="shared" si="57"/>
        <v>14.807284728531158</v>
      </c>
      <c r="DP20" s="19">
        <f t="shared" si="58"/>
        <v>76.805875259823324</v>
      </c>
      <c r="DQ20" s="19">
        <f t="shared" si="59"/>
        <v>31.600652066839984</v>
      </c>
      <c r="DR20" s="38">
        <f t="shared" si="60"/>
        <v>76.805875259823324</v>
      </c>
      <c r="DS20">
        <f t="shared" si="63"/>
        <v>0</v>
      </c>
      <c r="DT20">
        <f t="shared" si="63"/>
        <v>1</v>
      </c>
      <c r="DU20">
        <f t="shared" si="63"/>
        <v>0</v>
      </c>
    </row>
    <row r="21" spans="1:125" ht="13.5" thickBot="1" x14ac:dyDescent="0.35">
      <c r="A21" s="8" t="s">
        <v>68</v>
      </c>
      <c r="B21" s="8">
        <v>21</v>
      </c>
      <c r="C21" s="1" t="s">
        <v>21</v>
      </c>
      <c r="E21" s="12" t="s">
        <v>62</v>
      </c>
      <c r="F21" s="12">
        <v>2010</v>
      </c>
      <c r="G21" s="16">
        <v>1521895</v>
      </c>
      <c r="H21" s="17">
        <v>40179</v>
      </c>
      <c r="I21" s="18">
        <v>218.08500000000001</v>
      </c>
      <c r="J21" s="19">
        <f t="shared" si="0"/>
        <v>1008211</v>
      </c>
      <c r="K21" s="19">
        <f t="shared" si="2"/>
        <v>1602280</v>
      </c>
      <c r="L21" s="19"/>
      <c r="M21" s="20">
        <f t="shared" si="3"/>
        <v>2010</v>
      </c>
      <c r="N21" s="11">
        <f t="shared" si="4"/>
        <v>1602</v>
      </c>
      <c r="O21" s="11">
        <f t="shared" si="7"/>
        <v>-65</v>
      </c>
      <c r="P21" s="11">
        <f t="shared" si="11"/>
        <v>1598</v>
      </c>
      <c r="Q21" s="11">
        <f t="shared" si="11"/>
        <v>63</v>
      </c>
      <c r="R21" s="11">
        <f t="shared" si="27"/>
        <v>1724</v>
      </c>
      <c r="S21" s="11">
        <f t="shared" si="28"/>
        <v>-122</v>
      </c>
      <c r="T21" s="11">
        <f t="shared" si="61"/>
        <v>14884</v>
      </c>
      <c r="W21" s="20">
        <f t="shared" si="8"/>
        <v>2010</v>
      </c>
      <c r="X21" s="19">
        <f t="shared" si="5"/>
        <v>1602</v>
      </c>
      <c r="Y21" s="11">
        <f t="shared" si="15"/>
        <v>1598</v>
      </c>
      <c r="Z21" s="11">
        <f t="shared" si="29"/>
        <v>4</v>
      </c>
      <c r="AA21" s="11">
        <f t="shared" si="64"/>
        <v>16</v>
      </c>
      <c r="AC21" s="20">
        <f t="shared" si="1"/>
        <v>2010</v>
      </c>
      <c r="AD21" s="19">
        <f t="shared" si="1"/>
        <v>1602</v>
      </c>
      <c r="AE21" s="11">
        <f t="shared" si="9"/>
        <v>-65</v>
      </c>
      <c r="AF21" s="11">
        <f t="shared" si="12"/>
        <v>1643.5</v>
      </c>
      <c r="AG21" s="11">
        <f t="shared" si="12"/>
        <v>80</v>
      </c>
      <c r="AH21" s="11">
        <f t="shared" si="13"/>
        <v>1803.5</v>
      </c>
      <c r="AI21" s="11">
        <f t="shared" si="30"/>
        <v>-201.5</v>
      </c>
      <c r="AJ21" s="11">
        <f t="shared" si="65"/>
        <v>40602.25</v>
      </c>
      <c r="AL21" s="20">
        <f t="shared" si="6"/>
        <v>2010</v>
      </c>
      <c r="AM21" s="19">
        <f t="shared" si="6"/>
        <v>1602</v>
      </c>
      <c r="AN21" s="11">
        <f t="shared" si="10"/>
        <v>-65</v>
      </c>
      <c r="AO21" s="11">
        <f t="shared" si="31"/>
        <v>1643.5</v>
      </c>
      <c r="AP21" s="11">
        <f t="shared" si="31"/>
        <v>80</v>
      </c>
      <c r="AQ21" s="11">
        <f t="shared" si="32"/>
        <v>1803.5</v>
      </c>
      <c r="AR21" s="11">
        <f t="shared" si="33"/>
        <v>-201.5</v>
      </c>
      <c r="AS21" s="11">
        <f t="shared" si="34"/>
        <v>40602.25</v>
      </c>
      <c r="AU21" s="20">
        <f t="shared" si="16"/>
        <v>2006</v>
      </c>
      <c r="AV21" s="11">
        <f t="shared" si="16"/>
        <v>1478</v>
      </c>
      <c r="AW21" s="25">
        <f t="shared" si="35"/>
        <v>1454.4977355612987</v>
      </c>
      <c r="AX21" s="25">
        <f t="shared" si="36"/>
        <v>38.469693312558128</v>
      </c>
      <c r="AY21" s="25">
        <f t="shared" si="37"/>
        <v>1410.850673032282</v>
      </c>
      <c r="AZ21" s="11">
        <f t="shared" si="66"/>
        <v>67.149326967718025</v>
      </c>
      <c r="BA21" s="11">
        <f t="shared" si="17"/>
        <v>4509.0321122175028</v>
      </c>
      <c r="BC21" s="20">
        <f t="shared" si="38"/>
        <v>2006</v>
      </c>
      <c r="BD21" s="11">
        <f t="shared" si="38"/>
        <v>1478</v>
      </c>
      <c r="BE21" s="25">
        <f t="shared" si="39"/>
        <v>1454.6078618541428</v>
      </c>
      <c r="BF21" s="25">
        <f t="shared" si="40"/>
        <v>38.287199745549316</v>
      </c>
      <c r="BG21" s="25">
        <f t="shared" si="41"/>
        <v>1411.1653195832653</v>
      </c>
      <c r="BH21" s="11">
        <f t="shared" si="67"/>
        <v>66.834680416734727</v>
      </c>
      <c r="BI21" s="11">
        <f t="shared" si="18"/>
        <v>4466.8745064070645</v>
      </c>
      <c r="BL21">
        <v>2006</v>
      </c>
      <c r="BM21" s="26">
        <v>1807237</v>
      </c>
      <c r="BN21" s="40">
        <v>28372</v>
      </c>
      <c r="BO21" s="18">
        <f t="shared" si="19"/>
        <v>201.55799999999999</v>
      </c>
      <c r="BP21" s="26">
        <f t="shared" si="42"/>
        <v>32319.851794520684</v>
      </c>
      <c r="BQ21" s="10">
        <v>2007</v>
      </c>
      <c r="BR21" s="31">
        <f t="shared" si="62"/>
        <v>10.383436927058945</v>
      </c>
      <c r="BS21" s="31">
        <f t="shared" si="43"/>
        <v>14.40730971758726</v>
      </c>
      <c r="BT21" s="32">
        <f t="shared" si="20"/>
        <v>14.225347429307893</v>
      </c>
      <c r="BV21" s="19">
        <f t="shared" si="44"/>
        <v>1807237</v>
      </c>
      <c r="BW21" s="19">
        <f t="shared" si="45"/>
        <v>32319.851794520684</v>
      </c>
      <c r="CC21" s="21">
        <f t="shared" si="21"/>
        <v>2008</v>
      </c>
      <c r="CD21" s="33">
        <f t="shared" si="14"/>
        <v>6.1025664402782027</v>
      </c>
      <c r="CE21" s="33">
        <f t="shared" si="14"/>
        <v>8.4549860452929195</v>
      </c>
      <c r="CF21" s="33">
        <f t="shared" si="14"/>
        <v>8.418624645028828</v>
      </c>
      <c r="CI21" s="10">
        <f t="shared" si="22"/>
        <v>2008</v>
      </c>
      <c r="CJ21" s="11">
        <f t="shared" si="46"/>
        <v>1518746</v>
      </c>
      <c r="CK21" s="11">
        <f t="shared" si="23"/>
        <v>1619994</v>
      </c>
      <c r="CL21" s="31">
        <f>BR22-BR21*$BU$51</f>
        <v>6.1025664402782027</v>
      </c>
      <c r="CM21" s="31">
        <f>BS22-BS21*$BU$51</f>
        <v>8.4549860452929195</v>
      </c>
      <c r="CN21" s="31">
        <f>BT22-BT21*$BU$51</f>
        <v>8.418624645028828</v>
      </c>
      <c r="CO21" s="25">
        <f>$CC$44+$CC$45*CL21+$CC$46*CM21</f>
        <v>8.3696946152936071</v>
      </c>
      <c r="CP21" s="25">
        <f>CO21/(1-BU$51)</f>
        <v>14.265666955210429</v>
      </c>
      <c r="CQ21" s="34">
        <f t="shared" si="47"/>
        <v>1568557.4843786266</v>
      </c>
      <c r="CR21" s="11">
        <f t="shared" si="48"/>
        <v>1470524.3494992983</v>
      </c>
      <c r="CS21" s="11"/>
      <c r="CT21" s="31">
        <f t="shared" si="49"/>
        <v>1.5711225071116221E-3</v>
      </c>
      <c r="CU21" s="31">
        <f t="shared" si="49"/>
        <v>1.3176414638426706E-6</v>
      </c>
      <c r="CX21" s="25"/>
      <c r="CZ21">
        <f t="shared" si="24"/>
        <v>2008</v>
      </c>
      <c r="DA21" s="19">
        <f t="shared" si="25"/>
        <v>1619.9939999999999</v>
      </c>
      <c r="DB21" s="19">
        <f t="shared" si="26"/>
        <v>1568.5574843786267</v>
      </c>
      <c r="DC21" s="19">
        <f t="shared" si="50"/>
        <v>51.436515621373246</v>
      </c>
      <c r="DD21" s="35">
        <f t="shared" si="51"/>
        <v>2645.7151392677738</v>
      </c>
      <c r="DF21">
        <f t="shared" si="52"/>
        <v>2008</v>
      </c>
      <c r="DG21" s="11">
        <f t="shared" si="52"/>
        <v>1619.9939999999999</v>
      </c>
      <c r="DH21" s="11">
        <f t="shared" si="52"/>
        <v>1568.5574843786267</v>
      </c>
      <c r="DI21" s="11">
        <f t="shared" si="55"/>
        <v>1540.6495051307279</v>
      </c>
      <c r="DJ21" s="11">
        <f t="shared" si="56"/>
        <v>1554.6034947546773</v>
      </c>
      <c r="DK21" s="11">
        <f t="shared" si="53"/>
        <v>65.390505245322629</v>
      </c>
      <c r="DL21" s="25">
        <f t="shared" si="54"/>
        <v>4275.918176238566</v>
      </c>
      <c r="DN21" s="19"/>
      <c r="DO21" s="19">
        <f t="shared" si="57"/>
        <v>67.149326967718025</v>
      </c>
      <c r="DP21" s="19">
        <f t="shared" si="58"/>
        <v>51.436515621373246</v>
      </c>
      <c r="DQ21" s="19">
        <f t="shared" si="59"/>
        <v>65.390505245322629</v>
      </c>
      <c r="DR21" s="38">
        <f t="shared" si="60"/>
        <v>67.149326967718025</v>
      </c>
      <c r="DS21">
        <f t="shared" si="63"/>
        <v>1</v>
      </c>
      <c r="DT21">
        <f t="shared" si="63"/>
        <v>0</v>
      </c>
      <c r="DU21">
        <f t="shared" si="63"/>
        <v>0</v>
      </c>
    </row>
    <row r="22" spans="1:125" ht="13" x14ac:dyDescent="0.3">
      <c r="A22" s="8" t="s">
        <v>69</v>
      </c>
      <c r="B22" s="8">
        <v>22</v>
      </c>
      <c r="C22" s="1" t="s">
        <v>21</v>
      </c>
      <c r="E22" s="12" t="s">
        <v>62</v>
      </c>
      <c r="F22" s="12">
        <v>2011</v>
      </c>
      <c r="G22" s="16">
        <v>1665885</v>
      </c>
      <c r="H22" s="17">
        <v>40544</v>
      </c>
      <c r="I22" s="18">
        <v>224.935</v>
      </c>
      <c r="J22" s="19">
        <f t="shared" si="0"/>
        <v>1069992</v>
      </c>
      <c r="K22" s="19">
        <f t="shared" si="2"/>
        <v>1700464</v>
      </c>
      <c r="L22" s="19"/>
      <c r="M22" s="20">
        <f t="shared" si="3"/>
        <v>2011</v>
      </c>
      <c r="N22" s="11">
        <f t="shared" si="4"/>
        <v>1700</v>
      </c>
      <c r="O22" s="11">
        <f t="shared" si="7"/>
        <v>98</v>
      </c>
      <c r="P22" s="11">
        <f t="shared" si="11"/>
        <v>1629.6666666666667</v>
      </c>
      <c r="Q22" s="11">
        <f t="shared" si="11"/>
        <v>31.666666666666668</v>
      </c>
      <c r="R22" s="11">
        <f t="shared" si="27"/>
        <v>1693</v>
      </c>
      <c r="S22" s="11">
        <f t="shared" si="28"/>
        <v>7</v>
      </c>
      <c r="T22" s="11">
        <f t="shared" si="61"/>
        <v>49</v>
      </c>
      <c r="W22" s="20">
        <f t="shared" si="8"/>
        <v>2011</v>
      </c>
      <c r="X22" s="19">
        <f t="shared" si="5"/>
        <v>1700</v>
      </c>
      <c r="Y22" s="11">
        <f t="shared" si="15"/>
        <v>1629.6666666666667</v>
      </c>
      <c r="Z22" s="11">
        <f t="shared" si="29"/>
        <v>70.333333333333258</v>
      </c>
      <c r="AA22" s="11">
        <f t="shared" si="64"/>
        <v>4946.7777777777674</v>
      </c>
      <c r="AC22" s="20">
        <f t="shared" si="1"/>
        <v>2011</v>
      </c>
      <c r="AD22" s="19">
        <f t="shared" si="1"/>
        <v>1700</v>
      </c>
      <c r="AE22" s="11">
        <f t="shared" si="9"/>
        <v>98</v>
      </c>
      <c r="AF22" s="11">
        <f t="shared" si="12"/>
        <v>1634.5</v>
      </c>
      <c r="AG22" s="11">
        <f t="shared" si="12"/>
        <v>-9</v>
      </c>
      <c r="AH22" s="11">
        <f t="shared" si="13"/>
        <v>1616.5</v>
      </c>
      <c r="AI22" s="11">
        <f t="shared" si="30"/>
        <v>83.5</v>
      </c>
      <c r="AJ22" s="11">
        <f t="shared" si="65"/>
        <v>6972.25</v>
      </c>
      <c r="AL22" s="20">
        <f t="shared" si="6"/>
        <v>2011</v>
      </c>
      <c r="AM22" s="19">
        <f t="shared" si="6"/>
        <v>1700</v>
      </c>
      <c r="AN22" s="11">
        <f t="shared" si="10"/>
        <v>98</v>
      </c>
      <c r="AO22" s="11">
        <f t="shared" si="31"/>
        <v>1634.5</v>
      </c>
      <c r="AP22" s="11">
        <f t="shared" si="31"/>
        <v>-9</v>
      </c>
      <c r="AQ22" s="11">
        <f t="shared" si="32"/>
        <v>1616.5</v>
      </c>
      <c r="AR22" s="11">
        <f t="shared" si="33"/>
        <v>83.5</v>
      </c>
      <c r="AS22" s="11">
        <f t="shared" si="34"/>
        <v>6972.25</v>
      </c>
      <c r="AU22" s="20">
        <f t="shared" si="16"/>
        <v>2007</v>
      </c>
      <c r="AV22" s="11">
        <f t="shared" si="16"/>
        <v>1507</v>
      </c>
      <c r="AW22" s="25">
        <f t="shared" si="35"/>
        <v>1502.0886001058498</v>
      </c>
      <c r="AX22" s="25">
        <f t="shared" si="36"/>
        <v>38.56090502487806</v>
      </c>
      <c r="AY22" s="25">
        <f t="shared" si="37"/>
        <v>1492.9674288738568</v>
      </c>
      <c r="AZ22" s="11">
        <f t="shared" si="66"/>
        <v>14.032571126143239</v>
      </c>
      <c r="BA22" s="11">
        <f t="shared" si="17"/>
        <v>196.91305241026893</v>
      </c>
      <c r="BC22" s="20">
        <f t="shared" si="38"/>
        <v>2007</v>
      </c>
      <c r="BD22" s="11">
        <f t="shared" si="38"/>
        <v>1507</v>
      </c>
      <c r="BE22" s="25">
        <f t="shared" si="39"/>
        <v>1502.0632715598922</v>
      </c>
      <c r="BF22" s="25">
        <f t="shared" si="40"/>
        <v>38.263017484204077</v>
      </c>
      <c r="BG22" s="25">
        <f t="shared" si="41"/>
        <v>1492.8950615996921</v>
      </c>
      <c r="BH22" s="11">
        <f t="shared" si="67"/>
        <v>14.104938400307901</v>
      </c>
      <c r="BI22" s="11">
        <f t="shared" si="18"/>
        <v>198.94928727648042</v>
      </c>
      <c r="BL22">
        <v>2007</v>
      </c>
      <c r="BM22" s="26">
        <v>1811198</v>
      </c>
      <c r="BN22" s="40">
        <v>29497</v>
      </c>
      <c r="BO22" s="18">
        <f t="shared" si="19"/>
        <v>207.34399999999999</v>
      </c>
      <c r="BP22" s="26">
        <f t="shared" si="42"/>
        <v>32663.733640713021</v>
      </c>
      <c r="BQ22" s="10">
        <v>2008</v>
      </c>
      <c r="BR22" s="31">
        <f t="shared" si="62"/>
        <v>10.394020678444765</v>
      </c>
      <c r="BS22" s="31">
        <f t="shared" si="43"/>
        <v>14.409499062750108</v>
      </c>
      <c r="BT22" s="32">
        <f t="shared" si="20"/>
        <v>14.297933003498004</v>
      </c>
      <c r="BV22" s="19">
        <f t="shared" si="44"/>
        <v>1811198</v>
      </c>
      <c r="BW22" s="19">
        <f t="shared" si="45"/>
        <v>32663.733640713021</v>
      </c>
      <c r="BY22" s="37"/>
      <c r="BZ22" s="37" t="s">
        <v>43</v>
      </c>
      <c r="CA22" s="37" t="s">
        <v>44</v>
      </c>
      <c r="CC22" s="21">
        <f t="shared" si="21"/>
        <v>2009</v>
      </c>
      <c r="CD22" s="33">
        <f t="shared" si="14"/>
        <v>6.119634869860012</v>
      </c>
      <c r="CE22" s="33">
        <f t="shared" si="14"/>
        <v>8.456108181236516</v>
      </c>
      <c r="CF22" s="33">
        <f t="shared" si="14"/>
        <v>8.4169565443850729</v>
      </c>
      <c r="CI22" s="10">
        <f t="shared" si="22"/>
        <v>2009</v>
      </c>
      <c r="CJ22" s="11">
        <f t="shared" si="46"/>
        <v>1557403</v>
      </c>
      <c r="CK22" s="11">
        <f t="shared" si="23"/>
        <v>1666547</v>
      </c>
      <c r="CL22" s="31">
        <f>BR23-BR22*$BU$51</f>
        <v>6.119634869860012</v>
      </c>
      <c r="CM22" s="31">
        <f>BS23-BS22*$BU$51</f>
        <v>8.456108181236516</v>
      </c>
      <c r="CN22" s="31">
        <f>BT23-BT22*$BU$51</f>
        <v>8.4169565443850729</v>
      </c>
      <c r="CO22" s="25">
        <f>$CC$44+$CC$45*CL22+$CC$46*CM22</f>
        <v>8.4018411185903954</v>
      </c>
      <c r="CP22" s="25">
        <f>CO22/(1-BU$51)</f>
        <v>14.32045883602393</v>
      </c>
      <c r="CQ22" s="34">
        <f t="shared" si="47"/>
        <v>1656899.8201709215</v>
      </c>
      <c r="CR22" s="11">
        <f t="shared" si="48"/>
        <v>1548387.7620364372</v>
      </c>
      <c r="CS22" s="11"/>
      <c r="CT22" s="31">
        <f t="shared" si="49"/>
        <v>3.2155497185071135E-3</v>
      </c>
      <c r="CU22" s="31">
        <f t="shared" si="49"/>
        <v>6.6304734323157963E-10</v>
      </c>
      <c r="CX22" s="25"/>
      <c r="CZ22">
        <f t="shared" si="24"/>
        <v>2009</v>
      </c>
      <c r="DA22" s="19">
        <f t="shared" si="25"/>
        <v>1666.547</v>
      </c>
      <c r="DB22" s="19">
        <f t="shared" si="26"/>
        <v>1656.8998201709214</v>
      </c>
      <c r="DC22" s="19">
        <f t="shared" si="50"/>
        <v>9.6471798290785955</v>
      </c>
      <c r="DD22" s="35">
        <f t="shared" si="51"/>
        <v>93.068078654580916</v>
      </c>
      <c r="DF22">
        <f t="shared" si="52"/>
        <v>2009</v>
      </c>
      <c r="DG22" s="11">
        <f t="shared" si="52"/>
        <v>1666.547</v>
      </c>
      <c r="DH22" s="11">
        <f t="shared" si="52"/>
        <v>1656.8998201709214</v>
      </c>
      <c r="DI22" s="11">
        <f t="shared" si="55"/>
        <v>1631.3040100372832</v>
      </c>
      <c r="DJ22" s="11">
        <f t="shared" si="56"/>
        <v>1644.1019151041023</v>
      </c>
      <c r="DK22" s="11">
        <f t="shared" si="53"/>
        <v>22.445084895897708</v>
      </c>
      <c r="DL22" s="25">
        <f t="shared" si="54"/>
        <v>503.78183598405542</v>
      </c>
      <c r="DN22" s="19"/>
      <c r="DO22" s="19">
        <f t="shared" si="57"/>
        <v>14.032571126143239</v>
      </c>
      <c r="DP22" s="19">
        <f t="shared" si="58"/>
        <v>9.6471798290785955</v>
      </c>
      <c r="DQ22" s="19">
        <f t="shared" si="59"/>
        <v>22.445084895897708</v>
      </c>
      <c r="DR22" s="38">
        <f t="shared" si="60"/>
        <v>22.445084895897708</v>
      </c>
      <c r="DS22">
        <f t="shared" si="63"/>
        <v>0</v>
      </c>
      <c r="DT22">
        <f t="shared" si="63"/>
        <v>0</v>
      </c>
      <c r="DU22">
        <f t="shared" si="63"/>
        <v>1</v>
      </c>
    </row>
    <row r="23" spans="1:125" ht="13" x14ac:dyDescent="0.3">
      <c r="A23" s="8" t="s">
        <v>70</v>
      </c>
      <c r="B23" s="8">
        <v>23</v>
      </c>
      <c r="C23" s="1" t="s">
        <v>71</v>
      </c>
      <c r="E23" s="12" t="s">
        <v>62</v>
      </c>
      <c r="F23" s="12">
        <v>2012</v>
      </c>
      <c r="G23" s="16">
        <v>1755746</v>
      </c>
      <c r="H23" s="17">
        <v>40909</v>
      </c>
      <c r="I23" s="18">
        <v>229.60400000000001</v>
      </c>
      <c r="J23" s="19">
        <f t="shared" si="0"/>
        <v>1104778</v>
      </c>
      <c r="K23" s="19">
        <f t="shared" si="2"/>
        <v>1755746</v>
      </c>
      <c r="L23" s="19"/>
      <c r="M23" s="20">
        <f t="shared" si="3"/>
        <v>2012</v>
      </c>
      <c r="N23" s="11">
        <f t="shared" si="4"/>
        <v>1756</v>
      </c>
      <c r="O23" s="11">
        <f t="shared" si="7"/>
        <v>56</v>
      </c>
      <c r="P23" s="11">
        <f t="shared" ref="P23:Q24" si="68">AVERAGE(N20:N22)</f>
        <v>1656.3333333333333</v>
      </c>
      <c r="Q23" s="11">
        <f t="shared" si="68"/>
        <v>26.666666666666668</v>
      </c>
      <c r="R23" s="11">
        <f t="shared" si="27"/>
        <v>1709.6666666666665</v>
      </c>
      <c r="S23" s="11">
        <f t="shared" si="28"/>
        <v>46.333333333333485</v>
      </c>
      <c r="T23" s="11">
        <f t="shared" si="61"/>
        <v>2146.7777777777919</v>
      </c>
      <c r="W23" s="20">
        <f t="shared" si="8"/>
        <v>2012</v>
      </c>
      <c r="X23" s="19">
        <f t="shared" si="5"/>
        <v>1756</v>
      </c>
      <c r="Y23" s="11">
        <f t="shared" si="15"/>
        <v>1656.3333333333333</v>
      </c>
      <c r="Z23" s="11">
        <f t="shared" si="29"/>
        <v>99.666666666666742</v>
      </c>
      <c r="AA23" s="11">
        <f t="shared" si="64"/>
        <v>9933.4444444444598</v>
      </c>
      <c r="AC23" s="20">
        <f t="shared" si="1"/>
        <v>2012</v>
      </c>
      <c r="AD23" s="19">
        <f t="shared" si="1"/>
        <v>1756</v>
      </c>
      <c r="AE23" s="11">
        <f t="shared" si="9"/>
        <v>56</v>
      </c>
      <c r="AF23" s="11">
        <f t="shared" ref="AF23:AG24" si="69">AVERAGE(AD21:AD22)</f>
        <v>1651</v>
      </c>
      <c r="AG23" s="11">
        <f t="shared" si="69"/>
        <v>16.5</v>
      </c>
      <c r="AH23" s="11">
        <f t="shared" si="13"/>
        <v>1684</v>
      </c>
      <c r="AI23" s="11">
        <f t="shared" si="30"/>
        <v>72</v>
      </c>
      <c r="AJ23" s="11">
        <f t="shared" si="65"/>
        <v>5184</v>
      </c>
      <c r="AL23" s="20">
        <f t="shared" si="6"/>
        <v>2012</v>
      </c>
      <c r="AM23" s="19">
        <f t="shared" si="6"/>
        <v>1756</v>
      </c>
      <c r="AN23" s="11">
        <f t="shared" si="10"/>
        <v>56</v>
      </c>
      <c r="AO23" s="11">
        <f t="shared" si="31"/>
        <v>1651</v>
      </c>
      <c r="AP23" s="11">
        <f t="shared" si="31"/>
        <v>16.5</v>
      </c>
      <c r="AQ23" s="11">
        <f t="shared" si="32"/>
        <v>1684</v>
      </c>
      <c r="AR23" s="11">
        <f t="shared" si="33"/>
        <v>72</v>
      </c>
      <c r="AS23" s="11">
        <f t="shared" si="34"/>
        <v>5184</v>
      </c>
      <c r="AU23" s="20">
        <f t="shared" si="16"/>
        <v>2008</v>
      </c>
      <c r="AV23" s="11">
        <f t="shared" si="16"/>
        <v>1620</v>
      </c>
      <c r="AW23" s="25">
        <f t="shared" si="35"/>
        <v>1592.2273267957548</v>
      </c>
      <c r="AX23" s="25">
        <f t="shared" si="36"/>
        <v>39.076683241528329</v>
      </c>
      <c r="AY23" s="25">
        <f t="shared" si="37"/>
        <v>1540.6495051307279</v>
      </c>
      <c r="AZ23" s="11">
        <f t="shared" si="66"/>
        <v>79.350494869272097</v>
      </c>
      <c r="BA23" s="11">
        <f t="shared" si="17"/>
        <v>6296.5010359983771</v>
      </c>
      <c r="BC23" s="20">
        <f t="shared" si="38"/>
        <v>2008</v>
      </c>
      <c r="BD23" s="11">
        <f t="shared" si="38"/>
        <v>1620</v>
      </c>
      <c r="BE23" s="25">
        <f t="shared" si="39"/>
        <v>1592.1142011654338</v>
      </c>
      <c r="BF23" s="25">
        <f t="shared" si="40"/>
        <v>38.304428177675774</v>
      </c>
      <c r="BG23" s="25">
        <f t="shared" si="41"/>
        <v>1540.3262890440963</v>
      </c>
      <c r="BH23" s="11">
        <f t="shared" si="67"/>
        <v>79.673710955903744</v>
      </c>
      <c r="BI23" s="11">
        <f t="shared" si="18"/>
        <v>6347.9002174848965</v>
      </c>
      <c r="BL23">
        <v>2008</v>
      </c>
      <c r="BM23" s="26">
        <v>1814873</v>
      </c>
      <c r="BN23" s="30">
        <v>31286</v>
      </c>
      <c r="BO23" s="18">
        <f t="shared" si="19"/>
        <v>215.25399999999999</v>
      </c>
      <c r="BP23" s="26">
        <f t="shared" si="42"/>
        <v>33371.694574781424</v>
      </c>
      <c r="BQ23" s="10">
        <v>2009</v>
      </c>
      <c r="BR23" s="31">
        <f t="shared" si="62"/>
        <v>10.415463351840009</v>
      </c>
      <c r="BS23" s="31">
        <f t="shared" si="43"/>
        <v>14.411526050781111</v>
      </c>
      <c r="BT23" s="32">
        <f t="shared" si="20"/>
        <v>14.326264379152521</v>
      </c>
      <c r="BV23" s="19">
        <f t="shared" si="44"/>
        <v>1814873</v>
      </c>
      <c r="BW23" s="19">
        <f t="shared" si="45"/>
        <v>33371.694574781424</v>
      </c>
      <c r="BY23" t="s">
        <v>43</v>
      </c>
      <c r="BZ23">
        <v>1</v>
      </c>
      <c r="CC23" s="21">
        <f t="shared" si="21"/>
        <v>2010</v>
      </c>
      <c r="CD23" s="33">
        <f t="shared" si="14"/>
        <v>6.1037530371568325</v>
      </c>
      <c r="CE23" s="33">
        <f t="shared" si="14"/>
        <v>8.4579689043274016</v>
      </c>
      <c r="CF23" s="33">
        <f t="shared" si="14"/>
        <v>8.3659210357710663</v>
      </c>
      <c r="CI23" s="10">
        <f t="shared" si="22"/>
        <v>2010</v>
      </c>
      <c r="CJ23" s="11">
        <f t="shared" si="46"/>
        <v>1521895</v>
      </c>
      <c r="CK23" s="11">
        <f t="shared" si="23"/>
        <v>1602280</v>
      </c>
      <c r="CL23" s="31">
        <f>BR24-BR23*$BU$51</f>
        <v>6.1037530371568325</v>
      </c>
      <c r="CM23" s="31">
        <f>BS24-BS23*$BU$51</f>
        <v>8.4579689043274016</v>
      </c>
      <c r="CN23" s="31">
        <f>BT24-BT23*$BU$51</f>
        <v>8.3659210357710663</v>
      </c>
      <c r="CO23" s="25">
        <f>$CC$44+$CC$45*CL23+$CC$46*CM23</f>
        <v>8.3795335815283121</v>
      </c>
      <c r="CP23" s="25">
        <f>CO23/(1-BU$51)</f>
        <v>14.282436911814507</v>
      </c>
      <c r="CQ23" s="34">
        <f t="shared" si="47"/>
        <v>1595083.9273014208</v>
      </c>
      <c r="CR23" s="11">
        <f t="shared" si="48"/>
        <v>1515060.183121942</v>
      </c>
      <c r="CS23" s="11"/>
      <c r="CT23" s="31">
        <f t="shared" si="49"/>
        <v>1.6665977204104385E-3</v>
      </c>
      <c r="CU23" s="31">
        <f t="shared" si="49"/>
        <v>3.3671273243683102E-6</v>
      </c>
      <c r="CX23" s="25"/>
      <c r="CZ23">
        <f t="shared" si="24"/>
        <v>2010</v>
      </c>
      <c r="DA23" s="19">
        <f t="shared" si="25"/>
        <v>1602.28</v>
      </c>
      <c r="DB23" s="19">
        <f t="shared" si="26"/>
        <v>1595.0839273014208</v>
      </c>
      <c r="DC23" s="19">
        <f t="shared" si="50"/>
        <v>7.1960726985792007</v>
      </c>
      <c r="DD23" s="35">
        <f t="shared" si="51"/>
        <v>51.783462283236943</v>
      </c>
      <c r="DF23">
        <f t="shared" si="52"/>
        <v>2010</v>
      </c>
      <c r="DG23" s="11">
        <f t="shared" si="52"/>
        <v>1602.28</v>
      </c>
      <c r="DH23" s="11">
        <f t="shared" si="52"/>
        <v>1595.0839273014208</v>
      </c>
      <c r="DI23" s="11">
        <f t="shared" si="55"/>
        <v>1693.8151106893349</v>
      </c>
      <c r="DJ23" s="11">
        <f t="shared" si="56"/>
        <v>1644.4495189953777</v>
      </c>
      <c r="DK23" s="11">
        <f t="shared" si="53"/>
        <v>-42.169518995377757</v>
      </c>
      <c r="DL23" s="25">
        <f t="shared" si="54"/>
        <v>1778.2683323015256</v>
      </c>
      <c r="DN23" s="19"/>
      <c r="DO23" s="19">
        <f t="shared" si="57"/>
        <v>79.350494869272097</v>
      </c>
      <c r="DP23" s="19">
        <f t="shared" si="58"/>
        <v>7.1960726985792007</v>
      </c>
      <c r="DQ23" s="19">
        <f t="shared" si="59"/>
        <v>42.169518995377757</v>
      </c>
      <c r="DR23" s="38">
        <f t="shared" si="60"/>
        <v>79.350494869272097</v>
      </c>
      <c r="DS23">
        <f t="shared" si="63"/>
        <v>1</v>
      </c>
      <c r="DT23">
        <f t="shared" si="63"/>
        <v>0</v>
      </c>
      <c r="DU23">
        <f t="shared" si="63"/>
        <v>0</v>
      </c>
    </row>
    <row r="24" spans="1:125" ht="13.5" thickBot="1" x14ac:dyDescent="0.35">
      <c r="E24" s="12" t="s">
        <v>72</v>
      </c>
      <c r="K24" s="19"/>
      <c r="M24" s="20">
        <v>2013</v>
      </c>
      <c r="N24" s="10"/>
      <c r="O24" s="10"/>
      <c r="P24" s="11">
        <f t="shared" si="68"/>
        <v>1686</v>
      </c>
      <c r="Q24" s="11">
        <f t="shared" si="68"/>
        <v>29.666666666666668</v>
      </c>
      <c r="R24" s="11">
        <f t="shared" si="27"/>
        <v>1745.3333333333333</v>
      </c>
      <c r="S24" s="11"/>
      <c r="T24" s="10"/>
      <c r="W24" s="20">
        <f t="shared" si="8"/>
        <v>2013</v>
      </c>
      <c r="X24" s="19"/>
      <c r="Y24" s="11">
        <f t="shared" si="15"/>
        <v>1686</v>
      </c>
      <c r="Z24" s="11"/>
      <c r="AA24" s="10"/>
      <c r="AC24" s="20">
        <f>W24</f>
        <v>2013</v>
      </c>
      <c r="AD24" s="19"/>
      <c r="AE24" s="10"/>
      <c r="AF24" s="11">
        <f t="shared" si="69"/>
        <v>1728</v>
      </c>
      <c r="AG24" s="11">
        <f t="shared" si="69"/>
        <v>77</v>
      </c>
      <c r="AH24" s="11">
        <f t="shared" si="13"/>
        <v>1882</v>
      </c>
      <c r="AI24" s="11"/>
      <c r="AJ24" s="10"/>
      <c r="AL24" s="20">
        <f t="shared" si="6"/>
        <v>2013</v>
      </c>
      <c r="AM24" s="19"/>
      <c r="AN24" s="10"/>
      <c r="AO24" s="11">
        <f t="shared" si="31"/>
        <v>1728</v>
      </c>
      <c r="AP24" s="11">
        <f t="shared" si="31"/>
        <v>77</v>
      </c>
      <c r="AQ24" s="11">
        <f t="shared" si="32"/>
        <v>1882</v>
      </c>
      <c r="AR24" s="11"/>
      <c r="AS24" s="10"/>
      <c r="AU24" s="20">
        <f t="shared" si="16"/>
        <v>2009</v>
      </c>
      <c r="AV24" s="11">
        <f t="shared" si="16"/>
        <v>1667</v>
      </c>
      <c r="AW24" s="25">
        <f t="shared" si="35"/>
        <v>1654.506403513049</v>
      </c>
      <c r="AX24" s="25">
        <f t="shared" si="36"/>
        <v>39.308707176285985</v>
      </c>
      <c r="AY24" s="25">
        <f t="shared" si="37"/>
        <v>1631.3040100372832</v>
      </c>
      <c r="AZ24" s="11">
        <f t="shared" si="66"/>
        <v>35.695989962716794</v>
      </c>
      <c r="BA24" s="11">
        <f t="shared" si="17"/>
        <v>1274.2036994183782</v>
      </c>
      <c r="BC24" s="20">
        <f t="shared" si="38"/>
        <v>2009</v>
      </c>
      <c r="BD24" s="11">
        <f t="shared" si="38"/>
        <v>1667</v>
      </c>
      <c r="BE24" s="25">
        <f t="shared" si="39"/>
        <v>1654.1965202700883</v>
      </c>
      <c r="BF24" s="25">
        <f t="shared" si="40"/>
        <v>38.30270512015499</v>
      </c>
      <c r="BG24" s="25">
        <f t="shared" si="41"/>
        <v>1630.4186293431096</v>
      </c>
      <c r="BH24" s="11">
        <f t="shared" si="67"/>
        <v>36.581370656890385</v>
      </c>
      <c r="BI24" s="11">
        <f t="shared" si="18"/>
        <v>1338.1966791368009</v>
      </c>
      <c r="BL24">
        <v>2009</v>
      </c>
      <c r="BM24" s="26">
        <v>1819777</v>
      </c>
      <c r="BN24" s="30">
        <v>30968</v>
      </c>
      <c r="BO24" s="18">
        <f t="shared" si="19"/>
        <v>214.56700000000001</v>
      </c>
      <c r="BP24" s="26">
        <f t="shared" si="42"/>
        <v>33138.258315584411</v>
      </c>
      <c r="BQ24" s="10">
        <v>2010</v>
      </c>
      <c r="BR24" s="31">
        <f t="shared" si="62"/>
        <v>10.408443734245955</v>
      </c>
      <c r="BS24" s="31">
        <f t="shared" si="43"/>
        <v>14.414224524073347</v>
      </c>
      <c r="BT24" s="32">
        <f t="shared" si="20"/>
        <v>14.286938172861026</v>
      </c>
      <c r="BV24" s="19">
        <f t="shared" si="44"/>
        <v>1819777</v>
      </c>
      <c r="BW24" s="19">
        <f t="shared" si="45"/>
        <v>33138.258315584411</v>
      </c>
      <c r="BY24" s="39" t="s">
        <v>44</v>
      </c>
      <c r="BZ24" s="39">
        <v>0.25869398895638951</v>
      </c>
      <c r="CA24" s="39">
        <v>1</v>
      </c>
      <c r="CC24" s="21">
        <f t="shared" si="21"/>
        <v>2011</v>
      </c>
      <c r="CD24" s="33">
        <f t="shared" si="14"/>
        <v>6.1170919182376986</v>
      </c>
      <c r="CE24" s="33">
        <f t="shared" si="14"/>
        <v>8.4756836016667201</v>
      </c>
      <c r="CF24" s="33">
        <f t="shared" si="14"/>
        <v>8.4416480202602884</v>
      </c>
      <c r="CI24" s="10">
        <f t="shared" si="22"/>
        <v>2011</v>
      </c>
      <c r="CJ24" s="11">
        <f t="shared" si="46"/>
        <v>1665885</v>
      </c>
      <c r="CK24" s="11">
        <f t="shared" si="23"/>
        <v>1700464</v>
      </c>
      <c r="CL24" s="31">
        <f>BR25-BR24*$BU$51</f>
        <v>6.1170919182376986</v>
      </c>
      <c r="CM24" s="31">
        <f>BS25-BS24*$BU$51</f>
        <v>8.4756836016667201</v>
      </c>
      <c r="CN24" s="31">
        <f>BT25-BT24*$BU$51</f>
        <v>8.4416480202602884</v>
      </c>
      <c r="CO24" s="25">
        <f>$CC$44+$CC$45*CL24+$CC$46*CM24</f>
        <v>8.4487327826522538</v>
      </c>
      <c r="CP24" s="25">
        <f>CO24/(1-BU$51)</f>
        <v>14.40038300210518</v>
      </c>
      <c r="CQ24" s="34">
        <f t="shared" si="47"/>
        <v>1794762.0386247372</v>
      </c>
      <c r="CR24" s="11">
        <f t="shared" si="48"/>
        <v>1758265.5317766904</v>
      </c>
      <c r="CS24" s="11"/>
      <c r="CT24" s="31">
        <f t="shared" si="49"/>
        <v>2.9336160211376173E-3</v>
      </c>
      <c r="CU24" s="31">
        <f t="shared" si="49"/>
        <v>3.8218962543684035E-4</v>
      </c>
      <c r="CX24" s="25"/>
      <c r="CZ24">
        <f t="shared" si="24"/>
        <v>2011</v>
      </c>
      <c r="DA24" s="19">
        <f t="shared" si="25"/>
        <v>1700.4639999999999</v>
      </c>
      <c r="DB24" s="19">
        <f t="shared" si="26"/>
        <v>1794.7620386247372</v>
      </c>
      <c r="DC24" s="19">
        <f t="shared" si="50"/>
        <v>-94.298038624737273</v>
      </c>
      <c r="DD24" s="35">
        <f t="shared" si="51"/>
        <v>8892.1200884724421</v>
      </c>
      <c r="DF24">
        <f t="shared" si="52"/>
        <v>2011</v>
      </c>
      <c r="DG24" s="11">
        <f t="shared" si="52"/>
        <v>1700.4639999999999</v>
      </c>
      <c r="DH24" s="11">
        <f t="shared" si="52"/>
        <v>1794.7620386247372</v>
      </c>
      <c r="DI24" s="11">
        <f t="shared" si="55"/>
        <v>1672.8471976980725</v>
      </c>
      <c r="DJ24" s="11">
        <f t="shared" si="56"/>
        <v>1733.804618161405</v>
      </c>
      <c r="DK24" s="11">
        <f t="shared" si="53"/>
        <v>-33.340618161405018</v>
      </c>
      <c r="DL24" s="25">
        <f t="shared" si="54"/>
        <v>1111.5968193846102</v>
      </c>
      <c r="DN24" s="19"/>
      <c r="DO24" s="19">
        <f t="shared" si="57"/>
        <v>35.695989962716794</v>
      </c>
      <c r="DP24" s="19">
        <f t="shared" si="58"/>
        <v>94.298038624737273</v>
      </c>
      <c r="DQ24" s="19">
        <f t="shared" si="59"/>
        <v>33.340618161405018</v>
      </c>
      <c r="DR24" s="38">
        <f t="shared" si="60"/>
        <v>94.298038624737273</v>
      </c>
      <c r="DS24">
        <f t="shared" si="63"/>
        <v>0</v>
      </c>
      <c r="DT24">
        <f t="shared" si="63"/>
        <v>1</v>
      </c>
      <c r="DU24">
        <f t="shared" si="63"/>
        <v>0</v>
      </c>
    </row>
    <row r="25" spans="1:125" ht="13.5" thickBot="1" x14ac:dyDescent="0.35">
      <c r="AU25" s="20">
        <f t="shared" si="16"/>
        <v>2010</v>
      </c>
      <c r="AV25" s="11">
        <f t="shared" si="16"/>
        <v>1602</v>
      </c>
      <c r="AW25" s="25">
        <f t="shared" si="35"/>
        <v>1634.1352887412672</v>
      </c>
      <c r="AX25" s="25">
        <f t="shared" si="36"/>
        <v>38.71190895680531</v>
      </c>
      <c r="AY25" s="25">
        <f t="shared" si="37"/>
        <v>1693.8151106893349</v>
      </c>
      <c r="AZ25" s="11">
        <f t="shared" si="66"/>
        <v>-91.815110689334915</v>
      </c>
      <c r="BA25" s="11">
        <f t="shared" si="17"/>
        <v>8430.0145508948226</v>
      </c>
      <c r="BC25" s="20">
        <f t="shared" si="38"/>
        <v>2010</v>
      </c>
      <c r="BD25" s="11">
        <f t="shared" si="38"/>
        <v>1602</v>
      </c>
      <c r="BE25" s="25">
        <f t="shared" si="39"/>
        <v>1633.6747288865852</v>
      </c>
      <c r="BF25" s="25">
        <f t="shared" si="40"/>
        <v>38.173903189644591</v>
      </c>
      <c r="BG25" s="25">
        <f t="shared" si="41"/>
        <v>1692.4992253902433</v>
      </c>
      <c r="BH25" s="11">
        <f t="shared" si="67"/>
        <v>-90.499225390243282</v>
      </c>
      <c r="BI25" s="11">
        <f t="shared" si="18"/>
        <v>8190.1097962340546</v>
      </c>
      <c r="BL25">
        <v>2010</v>
      </c>
      <c r="BM25" s="26">
        <v>1854368</v>
      </c>
      <c r="BN25" s="30">
        <v>31806</v>
      </c>
      <c r="BO25" s="18">
        <f t="shared" si="19"/>
        <v>218.08500000000001</v>
      </c>
      <c r="BP25" s="26">
        <f t="shared" si="42"/>
        <v>33485.956503198293</v>
      </c>
      <c r="BQ25" s="10">
        <v>2011</v>
      </c>
      <c r="BR25" s="31">
        <f t="shared" si="62"/>
        <v>10.418881421060807</v>
      </c>
      <c r="BS25" s="31">
        <f t="shared" si="43"/>
        <v>14.433054495163342</v>
      </c>
      <c r="BT25" s="32">
        <f t="shared" si="20"/>
        <v>14.346411712961249</v>
      </c>
      <c r="BV25" s="19">
        <f t="shared" si="44"/>
        <v>1854368</v>
      </c>
      <c r="BW25" s="19">
        <f t="shared" si="45"/>
        <v>33485.956503198293</v>
      </c>
      <c r="CC25" s="21">
        <f t="shared" si="21"/>
        <v>2012</v>
      </c>
      <c r="CD25" s="33">
        <f t="shared" si="14"/>
        <v>6.1308422311736805</v>
      </c>
      <c r="CE25" s="33">
        <f t="shared" si="14"/>
        <v>8.4684381773521107</v>
      </c>
      <c r="CF25" s="33">
        <f t="shared" si="14"/>
        <v>8.4490604049165903</v>
      </c>
      <c r="CI25" s="10">
        <f t="shared" si="22"/>
        <v>2012</v>
      </c>
      <c r="CJ25" s="11">
        <f t="shared" si="46"/>
        <v>1755746</v>
      </c>
      <c r="CK25" s="11">
        <f t="shared" si="23"/>
        <v>1755746</v>
      </c>
      <c r="CL25" s="31">
        <f>BR26-BR25*$BU$51</f>
        <v>6.1308422311736805</v>
      </c>
      <c r="CM25" s="31">
        <f>BS26-BS25*$BU$51</f>
        <v>8.4684381773521107</v>
      </c>
      <c r="CN25" s="31">
        <f>BT26-BT25*$BU$51</f>
        <v>8.4490604049165903</v>
      </c>
      <c r="CO25" s="25">
        <f>$CC$44+$CC$45*CL25+$CC$46*CM25</f>
        <v>8.4532969136313021</v>
      </c>
      <c r="CP25" s="25">
        <f>CO25/(1-BU$51)</f>
        <v>14.408162302961401</v>
      </c>
      <c r="CQ25" s="34">
        <f t="shared" si="47"/>
        <v>1808778.4808624496</v>
      </c>
      <c r="CR25" s="11">
        <f t="shared" si="48"/>
        <v>1808778.4808624494</v>
      </c>
      <c r="CS25" s="11"/>
      <c r="CT25" s="31">
        <f t="shared" si="49"/>
        <v>4.6121998328206865E-3</v>
      </c>
      <c r="CU25" s="31">
        <f t="shared" si="49"/>
        <v>1.5139447971560039E-4</v>
      </c>
      <c r="CX25" s="25"/>
      <c r="CZ25">
        <f t="shared" si="24"/>
        <v>2012</v>
      </c>
      <c r="DA25" s="19">
        <f t="shared" si="25"/>
        <v>1755.7460000000001</v>
      </c>
      <c r="DB25" s="19">
        <f t="shared" si="26"/>
        <v>1808.7784808624497</v>
      </c>
      <c r="DC25" s="19">
        <f t="shared" si="50"/>
        <v>-53.032480862449574</v>
      </c>
      <c r="DD25" s="35">
        <f t="shared" si="51"/>
        <v>2812.4440264260802</v>
      </c>
      <c r="DF25">
        <f t="shared" si="52"/>
        <v>2012</v>
      </c>
      <c r="DG25" s="11">
        <f t="shared" si="52"/>
        <v>1755.7460000000001</v>
      </c>
      <c r="DH25" s="11">
        <f t="shared" si="52"/>
        <v>1808.7784808624497</v>
      </c>
      <c r="DI25" s="11">
        <f t="shared" si="55"/>
        <v>1729.3849213660933</v>
      </c>
      <c r="DJ25" s="11">
        <f t="shared" si="56"/>
        <v>1769.0817011142715</v>
      </c>
      <c r="DK25" s="11">
        <f t="shared" si="53"/>
        <v>-13.335701114271387</v>
      </c>
      <c r="DL25" s="25">
        <f t="shared" si="54"/>
        <v>177.84092420917912</v>
      </c>
      <c r="DN25" s="19"/>
      <c r="DO25" s="19">
        <f t="shared" si="57"/>
        <v>91.815110689334915</v>
      </c>
      <c r="DP25" s="19">
        <f t="shared" si="58"/>
        <v>53.032480862449574</v>
      </c>
      <c r="DQ25" s="19">
        <f t="shared" si="59"/>
        <v>13.335701114271387</v>
      </c>
      <c r="DR25" s="41">
        <f t="shared" si="60"/>
        <v>91.815110689334915</v>
      </c>
      <c r="DS25">
        <f t="shared" si="63"/>
        <v>1</v>
      </c>
      <c r="DT25">
        <f t="shared" si="63"/>
        <v>0</v>
      </c>
      <c r="DU25">
        <f t="shared" si="63"/>
        <v>0</v>
      </c>
    </row>
    <row r="26" spans="1:125" ht="13.5" thickBot="1" x14ac:dyDescent="0.35">
      <c r="E26" s="12" t="s">
        <v>73</v>
      </c>
      <c r="AU26" s="20">
        <f t="shared" si="16"/>
        <v>2011</v>
      </c>
      <c r="AV26" s="11">
        <f t="shared" si="16"/>
        <v>1700</v>
      </c>
      <c r="AW26" s="25">
        <f t="shared" si="35"/>
        <v>1690.4965191943254</v>
      </c>
      <c r="AX26" s="25">
        <f t="shared" si="36"/>
        <v>38.888402171767837</v>
      </c>
      <c r="AY26" s="25">
        <f t="shared" si="37"/>
        <v>1672.8471976980725</v>
      </c>
      <c r="AZ26" s="11">
        <f t="shared" si="66"/>
        <v>27.152802301927522</v>
      </c>
      <c r="BA26" s="11">
        <f t="shared" si="17"/>
        <v>737.27467284756051</v>
      </c>
      <c r="BC26" s="20">
        <f t="shared" si="38"/>
        <v>2011</v>
      </c>
      <c r="BD26" s="11">
        <f t="shared" si="38"/>
        <v>1700</v>
      </c>
      <c r="BE26" s="25">
        <f t="shared" si="39"/>
        <v>1690.1470212266804</v>
      </c>
      <c r="BF26" s="25">
        <f t="shared" si="40"/>
        <v>38.163880654378715</v>
      </c>
      <c r="BG26" s="25">
        <f t="shared" si="41"/>
        <v>1671.8486320762297</v>
      </c>
      <c r="BH26" s="11">
        <f t="shared" si="67"/>
        <v>28.151367923770295</v>
      </c>
      <c r="BI26" s="11">
        <f t="shared" si="18"/>
        <v>792.49951597948302</v>
      </c>
      <c r="BL26">
        <v>2011</v>
      </c>
      <c r="BM26" s="26">
        <v>1855364</v>
      </c>
      <c r="BN26" s="30">
        <v>33403</v>
      </c>
      <c r="BO26" s="18">
        <f t="shared" si="19"/>
        <v>224.935</v>
      </c>
      <c r="BP26" s="26">
        <f t="shared" si="42"/>
        <v>34096.349665458911</v>
      </c>
      <c r="BQ26" s="10">
        <v>2012</v>
      </c>
      <c r="BR26" s="31">
        <f t="shared" si="62"/>
        <v>10.436945609607813</v>
      </c>
      <c r="BS26" s="31">
        <f t="shared" si="43"/>
        <v>14.433591461188882</v>
      </c>
      <c r="BT26" s="32">
        <f t="shared" si="20"/>
        <v>14.378404395789994</v>
      </c>
      <c r="BV26" s="19">
        <f t="shared" si="44"/>
        <v>1855364</v>
      </c>
      <c r="BW26" s="19">
        <f t="shared" si="45"/>
        <v>34096.349665458911</v>
      </c>
      <c r="CC26" s="21">
        <f t="shared" si="21"/>
        <v>2013</v>
      </c>
      <c r="CD26" s="33">
        <f>CL26</f>
        <v>6.1344784416894953</v>
      </c>
      <c r="CE26" s="33">
        <f>CM26</f>
        <v>8.4692569027678193</v>
      </c>
      <c r="CF26" s="33"/>
      <c r="CI26" s="10">
        <f t="shared" si="22"/>
        <v>2013</v>
      </c>
      <c r="CJ26" s="10"/>
      <c r="CK26" s="10"/>
      <c r="CL26" s="31">
        <f>BR27-BR26*$BU$51</f>
        <v>6.1344784416894953</v>
      </c>
      <c r="CM26" s="31">
        <f>BS27-BS26*$BU$51</f>
        <v>8.4692569027678193</v>
      </c>
      <c r="CN26" s="31"/>
      <c r="CO26" s="25">
        <f>$CC$44+$CC$45*CL26+$CC$46*CM26</f>
        <v>8.4616627377328033</v>
      </c>
      <c r="CP26" s="25">
        <f>CO26/(1-BU$51)</f>
        <v>14.422421372846678</v>
      </c>
      <c r="CQ26" s="34">
        <f t="shared" si="47"/>
        <v>1834754.7381367497</v>
      </c>
      <c r="CR26" s="11"/>
      <c r="CS26" s="11"/>
      <c r="CT26" s="31"/>
      <c r="CU26" s="31"/>
      <c r="CX26" s="25"/>
      <c r="CZ26">
        <f t="shared" si="24"/>
        <v>2013</v>
      </c>
      <c r="DA26" s="35"/>
      <c r="DB26" s="19">
        <f t="shared" si="26"/>
        <v>1834.7547381367497</v>
      </c>
      <c r="DF26">
        <f t="shared" si="52"/>
        <v>2013</v>
      </c>
      <c r="DG26" s="10"/>
      <c r="DH26" s="11">
        <f>DB26</f>
        <v>1834.7547381367497</v>
      </c>
      <c r="DI26" s="11">
        <f>AY28</f>
        <v>1785.746122661021</v>
      </c>
      <c r="DJ26" s="11">
        <f t="shared" si="56"/>
        <v>1810.2504303988853</v>
      </c>
      <c r="DK26" s="11"/>
      <c r="DL26" s="10"/>
      <c r="DS26" s="42">
        <f>SUM(DS9:DS25)</f>
        <v>7</v>
      </c>
      <c r="DT26" s="43">
        <f>SUM(DT9:DT25)</f>
        <v>6</v>
      </c>
      <c r="DU26" s="44">
        <f>SUM(DU9:DU25)</f>
        <v>2</v>
      </c>
    </row>
    <row r="27" spans="1:125" ht="13.5" thickBot="1" x14ac:dyDescent="0.35">
      <c r="AU27" s="20">
        <f t="shared" si="16"/>
        <v>2012</v>
      </c>
      <c r="AV27" s="11">
        <f t="shared" si="16"/>
        <v>1756</v>
      </c>
      <c r="AW27" s="25">
        <f t="shared" si="35"/>
        <v>1746.6847224781327</v>
      </c>
      <c r="AX27" s="25">
        <f t="shared" si="36"/>
        <v>39.061400182888228</v>
      </c>
      <c r="AY27" s="25">
        <f t="shared" si="37"/>
        <v>1729.3849213660933</v>
      </c>
      <c r="AZ27" s="11">
        <f t="shared" si="66"/>
        <v>26.615078633906705</v>
      </c>
      <c r="BA27" s="11">
        <f t="shared" si="17"/>
        <v>708.36241068903723</v>
      </c>
      <c r="BC27" s="20">
        <f t="shared" si="38"/>
        <v>2012</v>
      </c>
      <c r="BD27" s="11">
        <f t="shared" si="38"/>
        <v>1756</v>
      </c>
      <c r="BE27" s="25">
        <f t="shared" si="39"/>
        <v>1746.3088156583708</v>
      </c>
      <c r="BF27" s="25">
        <f t="shared" si="40"/>
        <v>38.153405871843276</v>
      </c>
      <c r="BG27" s="25">
        <f t="shared" si="41"/>
        <v>1728.3109018810592</v>
      </c>
      <c r="BH27" s="11">
        <f t="shared" si="67"/>
        <v>27.689098118940819</v>
      </c>
      <c r="BI27" s="11">
        <f t="shared" si="18"/>
        <v>766.68615464033201</v>
      </c>
      <c r="BL27">
        <v>2012</v>
      </c>
      <c r="BM27" s="26">
        <v>1857295.794038651</v>
      </c>
      <c r="BN27" s="30">
        <v>34477</v>
      </c>
      <c r="BO27" s="18">
        <f t="shared" si="19"/>
        <v>229.60400000000001</v>
      </c>
      <c r="BP27" s="26">
        <f t="shared" si="42"/>
        <v>34477</v>
      </c>
      <c r="BQ27" s="10">
        <v>2013</v>
      </c>
      <c r="BR27" s="31">
        <f t="shared" si="62"/>
        <v>10.448047714031748</v>
      </c>
      <c r="BS27" s="31">
        <f t="shared" si="43"/>
        <v>14.434632113616066</v>
      </c>
      <c r="BT27" s="10"/>
      <c r="BV27" s="19">
        <f t="shared" si="44"/>
        <v>1857295.794038651</v>
      </c>
      <c r="BW27" s="19">
        <f t="shared" si="45"/>
        <v>34477</v>
      </c>
      <c r="CE27" s="33">
        <f>CM30</f>
        <v>1287.1123598297522</v>
      </c>
      <c r="CT27" s="31"/>
      <c r="CU27" s="31"/>
    </row>
    <row r="28" spans="1:125" ht="13" x14ac:dyDescent="0.3">
      <c r="E28" t="s">
        <v>74</v>
      </c>
      <c r="AU28" s="20">
        <f>AL24</f>
        <v>2013</v>
      </c>
      <c r="AV28" s="11"/>
      <c r="AW28" s="10"/>
      <c r="AX28" s="25">
        <f t="shared" si="36"/>
        <v>39.061400182888228</v>
      </c>
      <c r="AY28" s="25">
        <f t="shared" si="37"/>
        <v>1785.746122661021</v>
      </c>
      <c r="AZ28" s="11"/>
      <c r="BA28" s="10"/>
      <c r="BC28" s="20">
        <f t="shared" si="38"/>
        <v>2013</v>
      </c>
      <c r="BD28" s="11"/>
      <c r="BE28" s="10"/>
      <c r="BF28" s="25">
        <f t="shared" si="40"/>
        <v>38.11525246597143</v>
      </c>
      <c r="BG28" s="25">
        <f t="shared" si="41"/>
        <v>1784.462221530214</v>
      </c>
      <c r="BH28" s="11"/>
      <c r="BI28" s="10"/>
      <c r="BV28" s="97" t="s">
        <v>75</v>
      </c>
      <c r="BW28" s="97"/>
      <c r="BZ28" s="45" t="s">
        <v>76</v>
      </c>
      <c r="CH28" t="s">
        <v>75</v>
      </c>
    </row>
    <row r="29" spans="1:125" ht="13" thickBot="1" x14ac:dyDescent="0.3">
      <c r="BZ29" s="50">
        <f>BS51</f>
        <v>1.1432520894287803</v>
      </c>
    </row>
    <row r="30" spans="1:125" ht="13.5" thickBot="1" x14ac:dyDescent="0.35">
      <c r="A30" s="12"/>
      <c r="J30" s="56"/>
      <c r="K30" s="44"/>
      <c r="L30" s="99" t="s">
        <v>78</v>
      </c>
      <c r="M30" s="99"/>
      <c r="N30" s="100"/>
      <c r="O30" s="101"/>
      <c r="P30" s="102"/>
      <c r="Q30" s="57"/>
      <c r="R30" s="57" t="s">
        <v>53</v>
      </c>
      <c r="BP30" s="91" t="s">
        <v>79</v>
      </c>
      <c r="BQ30" s="91"/>
      <c r="CB30" s="91" t="s">
        <v>79</v>
      </c>
      <c r="CC30" s="91"/>
      <c r="CE30" s="58" t="s">
        <v>76</v>
      </c>
      <c r="CL30" s="46">
        <f>SUMPRODUCT(CL8:CL25,CL8:CL25)</f>
        <v>661.70118636157645</v>
      </c>
      <c r="CM30" s="47">
        <f>SUMPRODUCT(CM8:CM25,CM8:CM25)</f>
        <v>1287.1123598297522</v>
      </c>
      <c r="CN30" s="48"/>
      <c r="CO30" s="48"/>
      <c r="CP30" s="48"/>
      <c r="CQ30" s="48"/>
      <c r="CR30" s="48"/>
      <c r="CS30" s="48"/>
      <c r="CT30" s="47">
        <f>SUM(CT8:CT25)</f>
        <v>3.7229832281234464E-2</v>
      </c>
      <c r="CU30" s="49">
        <f>SUM(CU8:CU25)</f>
        <v>7.4078517405900689E-4</v>
      </c>
    </row>
    <row r="31" spans="1:125" ht="13" thickBot="1" x14ac:dyDescent="0.3">
      <c r="J31" s="62"/>
      <c r="K31" s="63" t="str">
        <f>Y1</f>
        <v>MA3</v>
      </c>
      <c r="L31" s="22" t="s">
        <v>80</v>
      </c>
      <c r="M31" s="22" t="s">
        <v>9</v>
      </c>
      <c r="N31" s="23" t="s">
        <v>81</v>
      </c>
      <c r="O31" s="63" t="s">
        <v>82</v>
      </c>
      <c r="P31" s="63" t="s">
        <v>83</v>
      </c>
      <c r="Q31" s="63" t="s">
        <v>52</v>
      </c>
      <c r="R31" s="63" t="s">
        <v>84</v>
      </c>
      <c r="BP31" t="s">
        <v>85</v>
      </c>
      <c r="BQ31" s="53">
        <v>0.97973976815966468</v>
      </c>
      <c r="CB31" t="s">
        <v>85</v>
      </c>
      <c r="CC31" s="53">
        <v>0.9459698628836688</v>
      </c>
      <c r="CE31" s="50">
        <f>CE51</f>
        <v>1.8170409027042007</v>
      </c>
      <c r="CJ31" s="64"/>
      <c r="CL31" s="51"/>
      <c r="CM31" s="52" t="s">
        <v>77</v>
      </c>
      <c r="CP31">
        <v>2.5000000000000001E-2</v>
      </c>
      <c r="CR31" s="53">
        <f>CE40</f>
        <v>9.891182661020436E-4</v>
      </c>
      <c r="CS31">
        <f>1/CC35</f>
        <v>5.5555555555555552E-2</v>
      </c>
      <c r="CT31" s="54">
        <f>CT30/CL30</f>
        <v>5.6263813710152237E-5</v>
      </c>
      <c r="CU31" s="55">
        <f>CU30/CM30</f>
        <v>5.7554040904167167E-7</v>
      </c>
    </row>
    <row r="32" spans="1:125" ht="13" thickBot="1" x14ac:dyDescent="0.3">
      <c r="J32" s="65" t="s">
        <v>23</v>
      </c>
      <c r="K32" s="66">
        <f>AA3</f>
        <v>97.489790538595685</v>
      </c>
      <c r="L32" s="67">
        <f>AJ3</f>
        <v>80.220841016118328</v>
      </c>
      <c r="M32" s="67">
        <f>T3</f>
        <v>57.256473028852412</v>
      </c>
      <c r="N32" s="66">
        <f>AS3</f>
        <v>79.683854491776856</v>
      </c>
      <c r="O32" s="66">
        <f>BA3</f>
        <v>47.034288807168728</v>
      </c>
      <c r="P32" s="66">
        <f>BI3</f>
        <v>46.884006551969641</v>
      </c>
      <c r="Q32" s="38">
        <f>DD6</f>
        <v>59.276152498014135</v>
      </c>
      <c r="R32" s="38">
        <f>DL8</f>
        <v>45.946782433771169</v>
      </c>
      <c r="BP32" t="s">
        <v>86</v>
      </c>
      <c r="BQ32" s="53">
        <v>0.95989001331355339</v>
      </c>
      <c r="CB32" t="s">
        <v>86</v>
      </c>
      <c r="CC32" s="53">
        <v>0.89485898148414711</v>
      </c>
      <c r="CL32" s="59"/>
      <c r="CM32" s="60"/>
      <c r="CN32" s="39"/>
      <c r="CO32" s="39"/>
      <c r="CP32" s="39">
        <f>-_xlfn.T.INV(CP31,CC41)</f>
        <v>2.109815577833317</v>
      </c>
      <c r="CQ32" s="39"/>
      <c r="CR32" s="39"/>
      <c r="CS32" s="39"/>
      <c r="CT32" s="39"/>
      <c r="CU32" s="61"/>
    </row>
    <row r="33" spans="10:88" ht="13" thickBot="1" x14ac:dyDescent="0.3">
      <c r="J33" s="68" t="s">
        <v>87</v>
      </c>
      <c r="K33" s="69">
        <f>Z2</f>
        <v>80.599999999999994</v>
      </c>
      <c r="L33" s="70">
        <f>AI2</f>
        <v>-13.433333333333334</v>
      </c>
      <c r="M33" s="70">
        <f>S2</f>
        <v>2.2444444444444644</v>
      </c>
      <c r="N33" s="69">
        <f>AR2</f>
        <v>-14.366666666666667</v>
      </c>
      <c r="O33" s="69">
        <f>AZ2</f>
        <v>1.4954667447147907</v>
      </c>
      <c r="P33" s="69">
        <f>BH2</f>
        <v>1.9694878558710329</v>
      </c>
      <c r="Q33" s="41">
        <f>DC5</f>
        <v>-24.563008646001858</v>
      </c>
      <c r="R33" s="41">
        <f>DK7</f>
        <v>-10.53642404523498</v>
      </c>
      <c r="BP33" t="s">
        <v>88</v>
      </c>
      <c r="BQ33" s="53">
        <v>0.95487626497774758</v>
      </c>
      <c r="CB33" t="s">
        <v>88</v>
      </c>
      <c r="CC33" s="53">
        <v>0.88084017901536671</v>
      </c>
    </row>
    <row r="34" spans="10:88" x14ac:dyDescent="0.25">
      <c r="BP34" t="s">
        <v>89</v>
      </c>
      <c r="BQ34" s="53">
        <v>3.4264130960268875E-2</v>
      </c>
      <c r="CB34" t="s">
        <v>89</v>
      </c>
      <c r="CC34" s="53">
        <v>3.1450250652451779E-2</v>
      </c>
    </row>
    <row r="35" spans="10:88" ht="13" thickBot="1" x14ac:dyDescent="0.3">
      <c r="BP35" s="39" t="s">
        <v>90</v>
      </c>
      <c r="BQ35" s="39">
        <v>19</v>
      </c>
      <c r="CB35" s="39" t="s">
        <v>90</v>
      </c>
      <c r="CC35" s="39">
        <v>18</v>
      </c>
    </row>
    <row r="37" spans="10:88" ht="13" thickBot="1" x14ac:dyDescent="0.3">
      <c r="BP37" t="s">
        <v>91</v>
      </c>
      <c r="CB37" t="s">
        <v>91</v>
      </c>
    </row>
    <row r="38" spans="10:88" ht="26" x14ac:dyDescent="0.3">
      <c r="BP38" s="37"/>
      <c r="BQ38" s="37" t="s">
        <v>92</v>
      </c>
      <c r="BR38" s="37" t="s">
        <v>93</v>
      </c>
      <c r="BS38" s="37" t="s">
        <v>94</v>
      </c>
      <c r="BT38" s="37" t="s">
        <v>95</v>
      </c>
      <c r="BU38" s="71" t="s">
        <v>96</v>
      </c>
      <c r="CB38" s="37"/>
      <c r="CC38" s="37" t="s">
        <v>92</v>
      </c>
      <c r="CD38" s="37" t="s">
        <v>93</v>
      </c>
      <c r="CE38" s="37" t="s">
        <v>94</v>
      </c>
      <c r="CF38" s="37" t="s">
        <v>95</v>
      </c>
      <c r="CG38" s="71" t="s">
        <v>96</v>
      </c>
    </row>
    <row r="39" spans="10:88" x14ac:dyDescent="0.25">
      <c r="BP39" t="s">
        <v>52</v>
      </c>
      <c r="BQ39">
        <v>2</v>
      </c>
      <c r="BR39" s="53">
        <v>0.44954004087227484</v>
      </c>
      <c r="BS39" s="53">
        <v>0.22477002043613742</v>
      </c>
      <c r="BT39" s="53">
        <v>191.4515745552026</v>
      </c>
      <c r="BU39" s="53">
        <v>6.6991567945577716E-12</v>
      </c>
      <c r="CB39" t="s">
        <v>52</v>
      </c>
      <c r="CC39">
        <v>2</v>
      </c>
      <c r="CD39" s="53">
        <v>0.12627631584689053</v>
      </c>
      <c r="CE39" s="53">
        <v>6.3138157923445265E-2</v>
      </c>
      <c r="CF39" s="53">
        <v>63.832769131099575</v>
      </c>
      <c r="CG39" s="53">
        <v>4.6056544226230027E-8</v>
      </c>
    </row>
    <row r="40" spans="10:88" x14ac:dyDescent="0.25">
      <c r="BP40" t="s">
        <v>97</v>
      </c>
      <c r="BQ40">
        <v>16</v>
      </c>
      <c r="BR40" s="53">
        <v>1.8784490727399298E-2</v>
      </c>
      <c r="BS40" s="53">
        <v>1.1740306704624561E-3</v>
      </c>
      <c r="BT40" s="53"/>
      <c r="BU40" s="53"/>
      <c r="CB40" t="s">
        <v>97</v>
      </c>
      <c r="CC40">
        <v>15</v>
      </c>
      <c r="CD40" s="53">
        <v>1.4836773991530655E-2</v>
      </c>
      <c r="CE40" s="53">
        <v>9.891182661020436E-4</v>
      </c>
      <c r="CF40" s="53"/>
      <c r="CG40" s="53"/>
      <c r="CH40" s="12" t="s">
        <v>98</v>
      </c>
      <c r="CI40" s="12"/>
    </row>
    <row r="41" spans="10:88" ht="13" thickBot="1" x14ac:dyDescent="0.3">
      <c r="BP41" s="39" t="s">
        <v>99</v>
      </c>
      <c r="BQ41" s="39">
        <v>18</v>
      </c>
      <c r="BR41" s="72">
        <v>0.46832453159967413</v>
      </c>
      <c r="BS41" s="72"/>
      <c r="BT41" s="72"/>
      <c r="BU41" s="72"/>
      <c r="CB41" s="39" t="s">
        <v>99</v>
      </c>
      <c r="CC41" s="39">
        <v>17</v>
      </c>
      <c r="CD41" s="72">
        <v>0.14111308983842119</v>
      </c>
      <c r="CE41" s="72"/>
      <c r="CF41" s="72"/>
      <c r="CG41" s="72"/>
    </row>
    <row r="42" spans="10:88" ht="13" thickBot="1" x14ac:dyDescent="0.3"/>
    <row r="43" spans="10:88" ht="26" x14ac:dyDescent="0.3">
      <c r="BP43" s="37"/>
      <c r="BQ43" s="71" t="s">
        <v>100</v>
      </c>
      <c r="BR43" s="71" t="s">
        <v>89</v>
      </c>
      <c r="BS43" s="71" t="s">
        <v>101</v>
      </c>
      <c r="BT43" s="71" t="s">
        <v>102</v>
      </c>
      <c r="BU43" s="71" t="s">
        <v>103</v>
      </c>
      <c r="BV43" s="71" t="s">
        <v>104</v>
      </c>
      <c r="BW43" s="71" t="s">
        <v>105</v>
      </c>
      <c r="BX43" s="71" t="s">
        <v>106</v>
      </c>
      <c r="CB43" s="37"/>
      <c r="CC43" s="71" t="s">
        <v>100</v>
      </c>
      <c r="CD43" s="71" t="s">
        <v>89</v>
      </c>
      <c r="CE43" s="71" t="s">
        <v>101</v>
      </c>
      <c r="CF43" s="71" t="s">
        <v>102</v>
      </c>
      <c r="CG43" s="71" t="s">
        <v>103</v>
      </c>
      <c r="CH43" s="71" t="s">
        <v>104</v>
      </c>
      <c r="CI43" s="71" t="s">
        <v>105</v>
      </c>
      <c r="CJ43" s="71" t="s">
        <v>106</v>
      </c>
    </row>
    <row r="44" spans="10:88" x14ac:dyDescent="0.25">
      <c r="BP44" t="s">
        <v>107</v>
      </c>
      <c r="BQ44" s="18">
        <v>-41.660794022079621</v>
      </c>
      <c r="BR44" s="18">
        <v>13.587955718767878</v>
      </c>
      <c r="BS44" s="18">
        <v>-3.0660089629624814</v>
      </c>
      <c r="BT44" s="18">
        <v>7.3872497412503964E-3</v>
      </c>
      <c r="BU44" s="18">
        <v>-70.465973355879399</v>
      </c>
      <c r="BV44" s="18">
        <v>-12.855614688279839</v>
      </c>
      <c r="BW44" s="18">
        <v>-70.465973355879399</v>
      </c>
      <c r="BX44" s="18">
        <v>-12.855614688279839</v>
      </c>
      <c r="CB44" t="s">
        <v>107</v>
      </c>
      <c r="CC44" s="18">
        <v>-24.206538294207068</v>
      </c>
      <c r="CD44" s="18">
        <v>9.9003726169050239</v>
      </c>
      <c r="CE44" s="18">
        <v>-2.445012852634866</v>
      </c>
      <c r="CF44" s="18">
        <v>2.730753171903871E-2</v>
      </c>
      <c r="CG44" s="18">
        <v>-45.30868300938171</v>
      </c>
      <c r="CH44" s="18">
        <v>-3.104393579032422</v>
      </c>
      <c r="CI44" s="18">
        <v>-45.30868300938171</v>
      </c>
      <c r="CJ44" s="18">
        <v>-3.104393579032422</v>
      </c>
    </row>
    <row r="45" spans="10:88" x14ac:dyDescent="0.25">
      <c r="BP45" s="12" t="s">
        <v>38</v>
      </c>
      <c r="BQ45" s="18">
        <v>1.8103818228765434</v>
      </c>
      <c r="BR45" s="18">
        <v>9.7000383288793707E-2</v>
      </c>
      <c r="BS45" s="18">
        <v>18.663656384600017</v>
      </c>
      <c r="BT45" s="18">
        <v>2.7715910442676316E-12</v>
      </c>
      <c r="BU45" s="18">
        <v>1.6047501963161368</v>
      </c>
      <c r="BV45" s="18">
        <v>2.0160134494369499</v>
      </c>
      <c r="BW45" s="18">
        <v>1.6047501963161368</v>
      </c>
      <c r="BX45" s="18">
        <v>2.0160134494369499</v>
      </c>
      <c r="CB45" s="12" t="s">
        <v>43</v>
      </c>
      <c r="CC45" s="18">
        <v>1.7112904958009896</v>
      </c>
      <c r="CD45" s="18">
        <v>0.16874065525235649</v>
      </c>
      <c r="CE45" s="18">
        <v>10.14154231676833</v>
      </c>
      <c r="CF45" s="18">
        <v>4.1519672912036458E-8</v>
      </c>
      <c r="CG45" s="18">
        <v>1.3516283028458957</v>
      </c>
      <c r="CH45" s="18">
        <v>2.0709526887560834</v>
      </c>
      <c r="CI45" s="18">
        <v>1.3516283028458957</v>
      </c>
      <c r="CJ45" s="18">
        <v>2.0709526887560834</v>
      </c>
    </row>
    <row r="46" spans="10:88" ht="13" thickBot="1" x14ac:dyDescent="0.3">
      <c r="BP46" s="73" t="s">
        <v>39</v>
      </c>
      <c r="BQ46" s="74">
        <v>2.5745157886627834</v>
      </c>
      <c r="BR46" s="74">
        <v>0.95182575476674025</v>
      </c>
      <c r="BS46" s="74">
        <v>2.7048183722384236</v>
      </c>
      <c r="BT46" s="74">
        <v>1.5617094737523434E-2</v>
      </c>
      <c r="BU46" s="74">
        <v>0.55673532719749996</v>
      </c>
      <c r="BV46" s="74">
        <v>4.5922962501280669</v>
      </c>
      <c r="BW46" s="74">
        <v>0.55673532719749996</v>
      </c>
      <c r="BX46" s="74">
        <v>4.5922962501280669</v>
      </c>
      <c r="CB46" s="73" t="s">
        <v>44</v>
      </c>
      <c r="CC46" s="74">
        <v>2.6177416309965915</v>
      </c>
      <c r="CD46" s="74">
        <v>1.1962422307091758</v>
      </c>
      <c r="CE46" s="74">
        <v>2.1883039770671693</v>
      </c>
      <c r="CF46" s="74">
        <v>4.4885612958141072E-2</v>
      </c>
      <c r="CG46" s="74">
        <v>6.8011671972108445E-2</v>
      </c>
      <c r="CH46" s="74">
        <v>5.1674715900210746</v>
      </c>
      <c r="CI46" s="74">
        <v>6.8011671972108445E-2</v>
      </c>
      <c r="CJ46" s="74">
        <v>5.1674715900210746</v>
      </c>
    </row>
    <row r="49" spans="68:86" ht="13" thickBot="1" x14ac:dyDescent="0.3"/>
    <row r="50" spans="68:86" ht="13.5" thickBot="1" x14ac:dyDescent="0.3">
      <c r="BP50" t="s">
        <v>108</v>
      </c>
      <c r="BS50" s="95" t="s">
        <v>109</v>
      </c>
      <c r="BT50" s="96"/>
      <c r="BU50" s="75" t="s">
        <v>110</v>
      </c>
      <c r="CB50" t="s">
        <v>108</v>
      </c>
      <c r="CE50" s="95" t="s">
        <v>109</v>
      </c>
      <c r="CF50" s="96"/>
      <c r="CG50" s="75"/>
      <c r="CH50" s="12" t="s">
        <v>111</v>
      </c>
    </row>
    <row r="51" spans="68:86" ht="13.5" thickBot="1" x14ac:dyDescent="0.35">
      <c r="BS51" s="50">
        <f>BS52/BT52</f>
        <v>1.1432520894287803</v>
      </c>
      <c r="BT51" s="76"/>
      <c r="BU51" s="77">
        <f>BU52/BT52</f>
        <v>0.41329805037705314</v>
      </c>
      <c r="CE51" s="50">
        <f>CE52/CF52</f>
        <v>1.8170409027042007</v>
      </c>
      <c r="CF51" s="76"/>
      <c r="CG51" s="77"/>
    </row>
    <row r="52" spans="68:86" ht="13.5" thickBot="1" x14ac:dyDescent="0.35">
      <c r="BP52" s="37" t="s">
        <v>112</v>
      </c>
      <c r="BQ52" s="37" t="s">
        <v>113</v>
      </c>
      <c r="BR52" s="37" t="s">
        <v>114</v>
      </c>
      <c r="BS52" s="78">
        <f>SUM(BS53:BS71)</f>
        <v>2.1475408272955222E-2</v>
      </c>
      <c r="BT52" s="78">
        <f>SUM(BT53:BT71)</f>
        <v>1.8784490727399669E-2</v>
      </c>
      <c r="BU52" s="79">
        <f>SUM(BU53:BU71)</f>
        <v>7.7635933949601159E-3</v>
      </c>
      <c r="CB52" s="37" t="s">
        <v>112</v>
      </c>
      <c r="CC52" s="37" t="s">
        <v>115</v>
      </c>
      <c r="CD52" s="37" t="s">
        <v>114</v>
      </c>
      <c r="CE52" s="78">
        <f>SUM(CE53:CE70)</f>
        <v>2.6959025206789469E-2</v>
      </c>
      <c r="CF52" s="78">
        <f>SUM(CF53:CF70)</f>
        <v>1.4836773991530876E-2</v>
      </c>
      <c r="CG52" s="79"/>
    </row>
    <row r="53" spans="68:86" x14ac:dyDescent="0.25">
      <c r="BP53">
        <v>1</v>
      </c>
      <c r="BQ53" s="18">
        <v>13.870540705037506</v>
      </c>
      <c r="BR53" s="18">
        <v>-1.8339555055627343E-2</v>
      </c>
      <c r="BS53" s="80"/>
      <c r="BT53" s="81">
        <f>BR53^2</f>
        <v>3.3633927963838645E-4</v>
      </c>
      <c r="BU53" s="29"/>
      <c r="CB53">
        <v>1</v>
      </c>
      <c r="CC53" s="18">
        <v>8.1808224008396753</v>
      </c>
      <c r="CD53" s="18">
        <v>-2.3039098410826853E-2</v>
      </c>
      <c r="CE53" s="80"/>
      <c r="CF53" s="81">
        <f t="shared" ref="CF53:CF70" si="70">CD53^2</f>
        <v>5.3080005558376437E-4</v>
      </c>
      <c r="CG53" s="29"/>
    </row>
    <row r="54" spans="68:86" x14ac:dyDescent="0.25">
      <c r="BP54">
        <v>2</v>
      </c>
      <c r="BQ54" s="18">
        <v>13.905328204725837</v>
      </c>
      <c r="BR54" s="18">
        <v>-2.245717357870447E-2</v>
      </c>
      <c r="BS54" s="80">
        <f>(BR54-BR53)^2</f>
        <v>1.6954782301587859E-5</v>
      </c>
      <c r="BT54" s="81">
        <f>BR54^2</f>
        <v>5.0432464514406209E-4</v>
      </c>
      <c r="BU54" s="82">
        <f t="shared" ref="BU54:BU71" si="71">BR54*BR53</f>
        <v>4.1185457124043036E-4</v>
      </c>
      <c r="CB54">
        <v>2</v>
      </c>
      <c r="CC54" s="18">
        <v>8.1779388788417418</v>
      </c>
      <c r="CD54" s="18">
        <v>-5.6738037177392897E-3</v>
      </c>
      <c r="CE54" s="80">
        <f t="shared" ref="CE54:CE70" si="72">(CD54-CD53)^2</f>
        <v>3.0155345977777507E-4</v>
      </c>
      <c r="CF54" s="81">
        <f t="shared" si="70"/>
        <v>3.2192048627432186E-5</v>
      </c>
      <c r="CG54" s="82"/>
    </row>
    <row r="55" spans="68:86" x14ac:dyDescent="0.25">
      <c r="BP55">
        <v>3</v>
      </c>
      <c r="BQ55" s="18">
        <v>13.916432311234587</v>
      </c>
      <c r="BR55" s="18">
        <v>-6.4037053014054379E-3</v>
      </c>
      <c r="BS55" s="80">
        <f t="shared" ref="BS55:BS71" si="73">(BR55-BR54)^2</f>
        <v>2.5771384373024633E-4</v>
      </c>
      <c r="BT55" s="81">
        <f t="shared" ref="BT55:BT71" si="74">BR55^2</f>
        <v>4.1007441587248114E-5</v>
      </c>
      <c r="BU55" s="82">
        <f t="shared" si="71"/>
        <v>1.4380912150053194E-4</v>
      </c>
      <c r="CB55">
        <v>3</v>
      </c>
      <c r="CC55" s="18">
        <v>8.193213003194364</v>
      </c>
      <c r="CD55" s="18">
        <v>-9.3409849815042634E-3</v>
      </c>
      <c r="CE55" s="80">
        <f t="shared" si="72"/>
        <v>1.3448218421308869E-5</v>
      </c>
      <c r="CF55" s="81">
        <f t="shared" si="70"/>
        <v>8.72540004246882E-5</v>
      </c>
      <c r="CG55" s="82"/>
    </row>
    <row r="56" spans="68:86" x14ac:dyDescent="0.25">
      <c r="BP56">
        <v>4</v>
      </c>
      <c r="BQ56" s="18">
        <v>13.937420377236229</v>
      </c>
      <c r="BR56" s="18">
        <v>-4.5606555021464601E-3</v>
      </c>
      <c r="BS56" s="80">
        <f t="shared" si="73"/>
        <v>3.3968325625485584E-6</v>
      </c>
      <c r="BT56" s="81">
        <f t="shared" si="74"/>
        <v>2.0799578609258781E-5</v>
      </c>
      <c r="BU56" s="82">
        <f t="shared" si="71"/>
        <v>2.9205093816979165E-5</v>
      </c>
      <c r="CB56">
        <v>4</v>
      </c>
      <c r="CC56" s="18">
        <v>8.2129136052650313</v>
      </c>
      <c r="CD56" s="18">
        <v>4.2983067828332722E-2</v>
      </c>
      <c r="CE56" s="80">
        <f t="shared" si="72"/>
        <v>2.7378065024466097E-3</v>
      </c>
      <c r="CF56" s="81">
        <f t="shared" si="70"/>
        <v>1.8475441199350515E-3</v>
      </c>
      <c r="CG56" s="82"/>
    </row>
    <row r="57" spans="68:86" x14ac:dyDescent="0.25">
      <c r="BP57">
        <v>5</v>
      </c>
      <c r="BQ57" s="18">
        <v>13.967291956917588</v>
      </c>
      <c r="BR57" s="18">
        <v>4.7028475345442189E-2</v>
      </c>
      <c r="BS57" s="80">
        <f t="shared" si="73"/>
        <v>2.6614384216096226E-3</v>
      </c>
      <c r="BT57" s="81">
        <f t="shared" si="74"/>
        <v>2.2116774933168639E-3</v>
      </c>
      <c r="BU57" s="82">
        <f t="shared" si="71"/>
        <v>-2.1448067484175007E-4</v>
      </c>
      <c r="CB57">
        <v>5</v>
      </c>
      <c r="CC57" s="18">
        <v>8.264508296092405</v>
      </c>
      <c r="CD57" s="18">
        <v>-3.739680961341918E-3</v>
      </c>
      <c r="CE57" s="80">
        <f t="shared" si="72"/>
        <v>2.183015254463043E-3</v>
      </c>
      <c r="CF57" s="81">
        <f t="shared" si="70"/>
        <v>1.3985213692623212E-5</v>
      </c>
      <c r="CG57" s="82"/>
    </row>
    <row r="58" spans="68:86" x14ac:dyDescent="0.25">
      <c r="BP58">
        <v>6</v>
      </c>
      <c r="BQ58" s="18">
        <v>14.034432300956151</v>
      </c>
      <c r="BR58" s="18">
        <v>1.8427626188522339E-2</v>
      </c>
      <c r="BS58" s="80">
        <f t="shared" si="73"/>
        <v>8.1800857249688286E-4</v>
      </c>
      <c r="BT58" s="81">
        <f t="shared" si="74"/>
        <v>3.3957740694391436E-4</v>
      </c>
      <c r="BU58" s="82">
        <f t="shared" si="71"/>
        <v>8.6662316388194769E-4</v>
      </c>
      <c r="CB58">
        <v>6</v>
      </c>
      <c r="CC58" s="18">
        <v>8.2433656913564164</v>
      </c>
      <c r="CD58" s="18">
        <v>1.6990703548550812E-2</v>
      </c>
      <c r="CE58" s="80">
        <f t="shared" si="72"/>
        <v>4.2974884192800044E-4</v>
      </c>
      <c r="CF58" s="81">
        <f t="shared" si="70"/>
        <v>2.8868400707473716E-4</v>
      </c>
      <c r="CG58" s="82"/>
    </row>
    <row r="59" spans="68:86" x14ac:dyDescent="0.25">
      <c r="BP59">
        <v>7</v>
      </c>
      <c r="BQ59" s="18">
        <v>14.040068406335276</v>
      </c>
      <c r="BR59" s="18">
        <v>2.8307598680401114E-2</v>
      </c>
      <c r="BS59" s="80">
        <f t="shared" si="73"/>
        <v>9.7613856440281285E-5</v>
      </c>
      <c r="BT59" s="81">
        <f t="shared" si="74"/>
        <v>8.0132014305064685E-4</v>
      </c>
      <c r="BU59" s="82">
        <f t="shared" si="71"/>
        <v>5.2164184677713993E-4</v>
      </c>
      <c r="CB59">
        <v>7</v>
      </c>
      <c r="CC59" s="18">
        <v>8.2666790507638428</v>
      </c>
      <c r="CD59" s="18">
        <v>1.4847353481036052E-2</v>
      </c>
      <c r="CE59" s="80">
        <f t="shared" si="72"/>
        <v>4.5939495119155256E-6</v>
      </c>
      <c r="CF59" s="81">
        <f t="shared" si="70"/>
        <v>2.2044390539083337E-4</v>
      </c>
      <c r="CG59" s="82"/>
    </row>
    <row r="60" spans="68:86" x14ac:dyDescent="0.25">
      <c r="BP60">
        <v>8</v>
      </c>
      <c r="BQ60" s="18">
        <v>14.067412743850017</v>
      </c>
      <c r="BR60" s="18">
        <v>2.8546035239155998E-2</v>
      </c>
      <c r="BS60" s="80">
        <f t="shared" si="73"/>
        <v>5.6851992550871361E-8</v>
      </c>
      <c r="BT60" s="81">
        <f t="shared" si="74"/>
        <v>8.1487612787513601E-4</v>
      </c>
      <c r="BU60" s="82">
        <f t="shared" si="71"/>
        <v>8.0806970946661601E-4</v>
      </c>
      <c r="CB60">
        <v>8</v>
      </c>
      <c r="CC60" s="18">
        <v>8.3012737186292913</v>
      </c>
      <c r="CD60" s="18">
        <v>-3.3379028131973243E-2</v>
      </c>
      <c r="CE60" s="80">
        <f t="shared" si="72"/>
        <v>2.3257838834836011E-3</v>
      </c>
      <c r="CF60" s="81">
        <f t="shared" si="70"/>
        <v>1.1141595190350612E-3</v>
      </c>
      <c r="CG60" s="82"/>
    </row>
    <row r="61" spans="68:86" x14ac:dyDescent="0.25">
      <c r="BP61">
        <v>9</v>
      </c>
      <c r="BQ61" s="18">
        <v>14.116002256260906</v>
      </c>
      <c r="BR61" s="18">
        <v>-2.227528417072655E-2</v>
      </c>
      <c r="BS61" s="80">
        <f t="shared" si="73"/>
        <v>2.5828065065613046E-3</v>
      </c>
      <c r="BT61" s="81">
        <f t="shared" si="74"/>
        <v>4.9618828488662086E-4</v>
      </c>
      <c r="BU61" s="82">
        <f t="shared" si="71"/>
        <v>-6.3587104689977387E-4</v>
      </c>
      <c r="CB61">
        <v>9</v>
      </c>
      <c r="CC61" s="18">
        <v>8.3088802881808483</v>
      </c>
      <c r="CD61" s="18">
        <v>-4.2822964798826746E-2</v>
      </c>
      <c r="CE61" s="80">
        <f t="shared" si="72"/>
        <v>8.9187939767540057E-5</v>
      </c>
      <c r="CF61" s="81">
        <f t="shared" si="70"/>
        <v>1.8338063141615545E-3</v>
      </c>
      <c r="CG61" s="82"/>
    </row>
    <row r="62" spans="68:86" x14ac:dyDescent="0.25">
      <c r="BP62">
        <v>10</v>
      </c>
      <c r="BQ62" s="18">
        <v>14.143667207983658</v>
      </c>
      <c r="BR62" s="18">
        <v>-5.2700004490276342E-2</v>
      </c>
      <c r="BS62" s="80">
        <f t="shared" si="73"/>
        <v>9.2566360652282596E-4</v>
      </c>
      <c r="BT62" s="81">
        <f t="shared" si="74"/>
        <v>2.7772904732751465E-3</v>
      </c>
      <c r="BU62" s="82">
        <f t="shared" si="71"/>
        <v>1.1739075758194707E-3</v>
      </c>
      <c r="CB62">
        <v>10</v>
      </c>
      <c r="CC62" s="18">
        <v>8.2961188097978731</v>
      </c>
      <c r="CD62" s="18">
        <v>-4.3295620831120374E-2</v>
      </c>
      <c r="CE62" s="80">
        <f t="shared" si="72"/>
        <v>2.2340372486355508E-7</v>
      </c>
      <c r="CF62" s="81">
        <f t="shared" si="70"/>
        <v>1.8745107831521445E-3</v>
      </c>
      <c r="CG62" s="82"/>
    </row>
    <row r="63" spans="68:86" x14ac:dyDescent="0.25">
      <c r="BP63">
        <v>11</v>
      </c>
      <c r="BQ63" s="18">
        <v>14.14133194338703</v>
      </c>
      <c r="BR63" s="18">
        <v>-6.4739481289466383E-2</v>
      </c>
      <c r="BS63" s="80">
        <f t="shared" si="73"/>
        <v>1.4494900159823528E-4</v>
      </c>
      <c r="BT63" s="81">
        <f t="shared" si="74"/>
        <v>4.1912004376291681E-3</v>
      </c>
      <c r="BU63" s="82">
        <f t="shared" si="71"/>
        <v>3.4117709546530395E-3</v>
      </c>
      <c r="CB63">
        <v>11</v>
      </c>
      <c r="CC63" s="18">
        <v>8.3095365397490539</v>
      </c>
      <c r="CD63" s="18">
        <v>8.8348467924994623E-3</v>
      </c>
      <c r="CE63" s="80">
        <f t="shared" si="72"/>
        <v>2.7175856546572761E-3</v>
      </c>
      <c r="CF63" s="81">
        <f t="shared" si="70"/>
        <v>7.8054517846938042E-5</v>
      </c>
      <c r="CG63" s="82"/>
    </row>
    <row r="64" spans="68:86" x14ac:dyDescent="0.25">
      <c r="BP64">
        <v>12</v>
      </c>
      <c r="BQ64" s="18">
        <v>14.154572876285531</v>
      </c>
      <c r="BR64" s="18">
        <v>-1.837326920673199E-2</v>
      </c>
      <c r="BS64" s="80">
        <f t="shared" si="73"/>
        <v>2.149825622901105E-3</v>
      </c>
      <c r="BT64" s="81">
        <f t="shared" si="74"/>
        <v>3.3757702134304597E-4</v>
      </c>
      <c r="BU64" s="82">
        <f t="shared" si="71"/>
        <v>1.1894759180355544E-3</v>
      </c>
      <c r="CB64">
        <v>12</v>
      </c>
      <c r="CC64" s="18">
        <v>8.3040698795164563</v>
      </c>
      <c r="CD64" s="18">
        <v>5.9864984846205616E-2</v>
      </c>
      <c r="CE64" s="80">
        <f t="shared" si="72"/>
        <v>2.604074989780309E-3</v>
      </c>
      <c r="CF64" s="81">
        <f t="shared" si="70"/>
        <v>3.5838164106364282E-3</v>
      </c>
      <c r="CG64" s="82"/>
    </row>
    <row r="65" spans="68:85" x14ac:dyDescent="0.25">
      <c r="BP65">
        <v>13</v>
      </c>
      <c r="BQ65" s="18">
        <v>14.15424289348379</v>
      </c>
      <c r="BR65" s="18">
        <v>5.2155708225404496E-2</v>
      </c>
      <c r="BS65" s="80">
        <f t="shared" si="73"/>
        <v>4.9743366576228175E-3</v>
      </c>
      <c r="BT65" s="81">
        <f t="shared" si="74"/>
        <v>2.7202179004935261E-3</v>
      </c>
      <c r="BU65" s="82">
        <f t="shared" si="71"/>
        <v>-9.5827086789312282E-4</v>
      </c>
      <c r="CB65">
        <v>13</v>
      </c>
      <c r="CC65" s="18">
        <v>8.3752119976714905</v>
      </c>
      <c r="CD65" s="18">
        <v>-2.1341413329301062E-2</v>
      </c>
      <c r="CE65" s="80">
        <f t="shared" si="72"/>
        <v>6.5944791046389341E-3</v>
      </c>
      <c r="CF65" s="81">
        <f t="shared" si="70"/>
        <v>4.5545592289206904E-4</v>
      </c>
      <c r="CG65" s="82"/>
    </row>
    <row r="66" spans="68:85" x14ac:dyDescent="0.25">
      <c r="BP66">
        <v>14</v>
      </c>
      <c r="BQ66" s="18">
        <v>14.229037789736118</v>
      </c>
      <c r="BR66" s="18">
        <v>-3.6903604282247926E-3</v>
      </c>
      <c r="BS66" s="80">
        <f t="shared" si="73"/>
        <v>3.1187833840658759E-3</v>
      </c>
      <c r="BT66" s="81">
        <f t="shared" si="74"/>
        <v>1.3618760090207475E-5</v>
      </c>
      <c r="BU66" s="82">
        <f t="shared" si="71"/>
        <v>-1.9247336174107107E-4</v>
      </c>
      <c r="CB66">
        <v>14</v>
      </c>
      <c r="CC66" s="18">
        <v>8.3696946152936071</v>
      </c>
      <c r="CD66" s="18">
        <v>4.893002973522087E-2</v>
      </c>
      <c r="CE66" s="80">
        <f t="shared" si="72"/>
        <v>4.9380757103703477E-3</v>
      </c>
      <c r="CF66" s="81">
        <f t="shared" si="70"/>
        <v>2.3941478098895986E-3</v>
      </c>
      <c r="CG66" s="82"/>
    </row>
    <row r="67" spans="68:85" x14ac:dyDescent="0.25">
      <c r="BP67">
        <v>15</v>
      </c>
      <c r="BQ67" s="18">
        <v>14.253834924551427</v>
      </c>
      <c r="BR67" s="18">
        <v>4.4098078946577246E-2</v>
      </c>
      <c r="BS67" s="80">
        <f t="shared" si="73"/>
        <v>2.2837349378791298E-3</v>
      </c>
      <c r="BT67" s="81">
        <f t="shared" si="74"/>
        <v>1.9446405667785593E-3</v>
      </c>
      <c r="BU67" s="82">
        <f t="shared" si="71"/>
        <v>-1.6273780550518153E-4</v>
      </c>
      <c r="CB67">
        <v>15</v>
      </c>
      <c r="CC67" s="18">
        <v>8.4018411185903954</v>
      </c>
      <c r="CD67" s="18">
        <v>1.5115425794677506E-2</v>
      </c>
      <c r="CE67" s="80">
        <f t="shared" si="72"/>
        <v>1.1434274396558107E-3</v>
      </c>
      <c r="CF67" s="81">
        <f t="shared" si="70"/>
        <v>2.2847609695440211E-4</v>
      </c>
      <c r="CG67" s="82"/>
    </row>
    <row r="68" spans="68:85" x14ac:dyDescent="0.25">
      <c r="BP68">
        <v>16</v>
      </c>
      <c r="BQ68" s="18">
        <v>14.297872863389308</v>
      </c>
      <c r="BR68" s="18">
        <v>2.8391515763212638E-2</v>
      </c>
      <c r="BS68" s="80">
        <f t="shared" si="73"/>
        <v>2.4669612703302459E-4</v>
      </c>
      <c r="BT68" s="81">
        <f t="shared" si="74"/>
        <v>8.0607816733275172E-4</v>
      </c>
      <c r="BU68" s="82">
        <f t="shared" si="71"/>
        <v>1.2520113035391432E-3</v>
      </c>
      <c r="CB68">
        <v>16</v>
      </c>
      <c r="CC68" s="18">
        <v>8.3795335815283121</v>
      </c>
      <c r="CD68" s="18">
        <v>-1.3612545757245798E-2</v>
      </c>
      <c r="CE68" s="80">
        <f t="shared" si="72"/>
        <v>8.2529634948811466E-4</v>
      </c>
      <c r="CF68" s="81">
        <f t="shared" si="70"/>
        <v>1.8530140199311056E-4</v>
      </c>
      <c r="CG68" s="82"/>
    </row>
    <row r="69" spans="68:85" x14ac:dyDescent="0.25">
      <c r="BP69">
        <v>17</v>
      </c>
      <c r="BQ69" s="18">
        <v>14.292111937389638</v>
      </c>
      <c r="BR69" s="18">
        <v>-5.1737645286120681E-3</v>
      </c>
      <c r="BS69" s="80">
        <f t="shared" si="73"/>
        <v>1.126628041068756E-3</v>
      </c>
      <c r="BT69" s="81">
        <f t="shared" si="74"/>
        <v>2.6767839397524456E-5</v>
      </c>
      <c r="BU69" s="82">
        <f t="shared" si="71"/>
        <v>-1.4689101716923995E-4</v>
      </c>
      <c r="CB69">
        <v>17</v>
      </c>
      <c r="CC69" s="18">
        <v>8.4487327826522538</v>
      </c>
      <c r="CD69" s="18">
        <v>-7.0847623919654268E-3</v>
      </c>
      <c r="CE69" s="80">
        <f t="shared" si="72"/>
        <v>4.2611955664031121E-5</v>
      </c>
      <c r="CF69" s="81">
        <f t="shared" si="70"/>
        <v>5.0193858150607675E-5</v>
      </c>
      <c r="CG69" s="82"/>
    </row>
    <row r="70" spans="68:85" ht="13" thickBot="1" x14ac:dyDescent="0.3">
      <c r="BP70">
        <v>18</v>
      </c>
      <c r="BQ70" s="18">
        <v>14.359486193743372</v>
      </c>
      <c r="BR70" s="18">
        <v>-1.3074480782123032E-2</v>
      </c>
      <c r="BS70" s="80">
        <f t="shared" si="73"/>
        <v>6.2421317318492328E-5</v>
      </c>
      <c r="BT70" s="81">
        <f t="shared" si="74"/>
        <v>1.709420477221045E-4</v>
      </c>
      <c r="BU70" s="82">
        <f t="shared" si="71"/>
        <v>6.7644284900568311E-5</v>
      </c>
      <c r="CB70" s="39">
        <v>18</v>
      </c>
      <c r="CC70" s="74">
        <v>8.4532969136313021</v>
      </c>
      <c r="CD70" s="74">
        <v>-4.2365087147118174E-3</v>
      </c>
      <c r="CE70" s="83">
        <f t="shared" si="72"/>
        <v>8.1125490099887086E-6</v>
      </c>
      <c r="CF70" s="84">
        <f t="shared" si="70"/>
        <v>1.7948006089829177E-5</v>
      </c>
      <c r="CG70" s="85"/>
    </row>
    <row r="71" spans="68:85" ht="13" thickBot="1" x14ac:dyDescent="0.3">
      <c r="BP71" s="39">
        <v>19</v>
      </c>
      <c r="BQ71" s="74">
        <v>14.393571699844621</v>
      </c>
      <c r="BR71" s="74">
        <v>-1.516730405462674E-2</v>
      </c>
      <c r="BS71" s="83">
        <f t="shared" si="73"/>
        <v>4.3799092499331281E-6</v>
      </c>
      <c r="BT71" s="84">
        <f t="shared" si="74"/>
        <v>2.3004711228549675E-4</v>
      </c>
      <c r="BU71" s="85">
        <f t="shared" si="71"/>
        <v>1.9830462537883406E-4</v>
      </c>
    </row>
    <row r="112" spans="4:5" x14ac:dyDescent="0.25">
      <c r="D112">
        <v>81</v>
      </c>
      <c r="E112" s="1" t="e">
        <f ca="1">TRIM(INDIRECT(#REF!&amp;A$1&amp;D112))</f>
        <v>#REF!</v>
      </c>
    </row>
  </sheetData>
  <mergeCells count="10">
    <mergeCell ref="BS50:BT50"/>
    <mergeCell ref="CE50:CF50"/>
    <mergeCell ref="F2:G2"/>
    <mergeCell ref="DO6:DQ6"/>
    <mergeCell ref="DS6:DU6"/>
    <mergeCell ref="BV28:BW28"/>
    <mergeCell ref="L30:N30"/>
    <mergeCell ref="O30:P30"/>
    <mergeCell ref="BP30:BQ30"/>
    <mergeCell ref="CB30:CC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Exhibit 7.10</vt:lpstr>
      <vt:lpstr>Ch. 7 Data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Pinchak</dc:creator>
  <cp:lastModifiedBy>Max Pinchak</cp:lastModifiedBy>
  <dcterms:created xsi:type="dcterms:W3CDTF">2014-06-13T22:26:59Z</dcterms:created>
  <dcterms:modified xsi:type="dcterms:W3CDTF">2023-10-13T20:45:47Z</dcterms:modified>
</cp:coreProperties>
</file>