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mc:AlternateContent xmlns:mc="http://schemas.openxmlformats.org/markup-compatibility/2006">
    <mc:Choice Requires="x15">
      <x15ac:absPath xmlns:x15ac="http://schemas.microsoft.com/office/spreadsheetml/2010/11/ac" url="C:\Users\swans\Desktop\Desktop\MuniCast\Misc\"/>
    </mc:Choice>
  </mc:AlternateContent>
  <xr:revisionPtr revIDLastSave="0" documentId="13_ncr:1_{4484A59E-5804-47C8-B141-52C22B9D715A}" xr6:coauthVersionLast="45" xr6:coauthVersionMax="45" xr10:uidLastSave="{00000000-0000-0000-0000-000000000000}"/>
  <bookViews>
    <workbookView xWindow="-108" yWindow="-108" windowWidth="30936" windowHeight="16896" xr2:uid="{00000000-000D-0000-FFFF-FFFF00000000}"/>
  </bookViews>
  <sheets>
    <sheet name="1-Instructions" sheetId="5" r:id="rId1"/>
    <sheet name="2-Data Input &amp; Assumptions" sheetId="3" r:id="rId2"/>
    <sheet name="3-Cash Flow Chart" sheetId="2" r:id="rId3"/>
    <sheet name="4-Forecast Indicators" sheetId="4" r:id="rId4"/>
    <sheet name="5-Standalone Chart" sheetId="7" r:id="rId5"/>
    <sheet name="5-FY Table" sheetId="6" state="hidden" r:id="rId6"/>
  </sheets>
  <externalReferences>
    <externalReference r:id="rId7"/>
  </externalReferences>
  <definedNames>
    <definedName name="baseexp1">OFFSET('[1]5-Sensitivity Analysis'!$E$85,0,0,1,yearend)</definedName>
    <definedName name="baserev1">OFFSET('[1]5-Sensitivity Analysis'!$E$83,0,0,1,yearend)</definedName>
    <definedName name="carryover">OFFSET('[1]5-Sensitivity Analysis'!$E$89,0,0,1,yearend)</definedName>
    <definedName name="charteightvar1">OFFSET('[1]2-Chart Gallery'!$D$179,0,0,1,years)</definedName>
    <definedName name="charteightvar2">OFFSET('[1]2-Chart Gallery'!$D$180,0,0,1,years)</definedName>
    <definedName name="chartfivevar1">OFFSET('[1]2-Chart Gallery'!$D$146,0,0,1,years)</definedName>
    <definedName name="chartfivevar2">OFFSET('[1]2-Chart Gallery'!$D$147,0,0,1,years)</definedName>
    <definedName name="chartfourvar1">OFFSET('[1]2-Chart Gallery'!$D$135,0,0,1,years)</definedName>
    <definedName name="chartfourvar2">OFFSET('[1]2-Chart Gallery'!$D$136,0,0,1,years)</definedName>
    <definedName name="chartonevar1">OFFSET('[1]2-Chart Gallery'!$D$99,0,0,1,years)</definedName>
    <definedName name="chartonevar2">OFFSET('[1]2-Chart Gallery'!$D$100,0,0,1,years)</definedName>
    <definedName name="chartonevar3">OFFSET('[1]2-Chart Gallery'!#REF!,0,0,1,years)</definedName>
    <definedName name="chartonevar4">OFFSET('[1]2-Chart Gallery'!#REF!,0,0,1,years)</definedName>
    <definedName name="chartonevar5">OFFSET('[1]2-Chart Gallery'!#REF!,0,0,1,years)</definedName>
    <definedName name="chartonevar6">OFFSET('[1]2-Chart Gallery'!#REF!,0,0,1,years)</definedName>
    <definedName name="chartsevenvar1">OFFSET('[1]2-Chart Gallery'!$D$168,0,0,1,years)</definedName>
    <definedName name="chartsevenvar2">OFFSET('[1]2-Chart Gallery'!$D$169,0,0,1,years)</definedName>
    <definedName name="chartsixvar1">OFFSET('[1]2-Chart Gallery'!$D$157,0,0,1,years)</definedName>
    <definedName name="chartsixvar2">OFFSET('[1]2-Chart Gallery'!$D$158,0,0,1,years)</definedName>
    <definedName name="chartthreevar1">OFFSET('[1]2-Chart Gallery'!$D$124,0,0,1,years)</definedName>
    <definedName name="chartthreevar2">OFFSET('[1]2-Chart Gallery'!$D$125,0,0,1,years)</definedName>
    <definedName name="charttwovar1">OFFSET('[1]2-Chart Gallery'!$D$113,0,0,1,years)</definedName>
    <definedName name="charttwovar2">OFFSET('[1]2-Chart Gallery'!$D$114,0,0,1,years)</definedName>
    <definedName name="charttwovar3">OFFSET('[1]2-Chart Gallery'!#REF!,0,0,1,years)</definedName>
    <definedName name="charttwovar4">OFFSET('[1]2-Chart Gallery'!#REF!,0,0,1,years)</definedName>
    <definedName name="charttwovar5">OFFSET('[1]2-Chart Gallery'!#REF!,0,0,1,years)</definedName>
    <definedName name="charttwovar6">OFFSET('[1]2-Chart Gallery'!#REF!,0,0,1,years)</definedName>
    <definedName name="deptchartchained">OFFSET('[1]10-Trend Analysis-Dept'!$D$66,0,0,1,deptyears)</definedName>
    <definedName name="deptchartnominal">OFFSET('[1]10-Trend Analysis-Dept'!$D$65,0,0,1,deptyears)</definedName>
    <definedName name="deptchartpc1">OFFSET('[1]10-Trend Analysis-Dept'!$D$72,0,0,1,deptyears)</definedName>
    <definedName name="deptchartpc2">OFFSET('[1]10-Trend Analysis-Dept'!$D$73,0,0,1,deptyears)</definedName>
    <definedName name="deptcharttwovar1">OFFSET('[1]10-Trend Analysis-Dept'!$D$69,0,0,1,deptyears)</definedName>
    <definedName name="deptchartvar1">OFFSET('[1]10-Trend Analysis-Dept'!$D$61,0,0,1,deptyears)</definedName>
    <definedName name="deptchartvar2">OFFSET('[1]10-Trend Analysis-Dept'!$D$62,0,0,1,deptyears)</definedName>
    <definedName name="exps1">OFFSET('[1]5-Sensitivity Analysis'!$E$86,0,0,1,yearend)</definedName>
    <definedName name="fbapct">OFFSET('[1]5-Sensitivity Analysis'!$E$106,0,0,1,yearend)</definedName>
    <definedName name="NEGATIVE">OFFSET('[1]5-Sensitivity Analysis'!$E$105,0,0,1,yearend)</definedName>
    <definedName name="POSITIVE">OFFSET('[1]5-Sensitivity Analysis'!$E$104,0,0,1,yearend)</definedName>
    <definedName name="_xlnm.Print_Area" localSheetId="0">'1-Instructions'!$B$1:$B$57</definedName>
    <definedName name="_xlnm.Print_Titles" localSheetId="1">'2-Data Input &amp; Assumptions'!$1:$4</definedName>
    <definedName name="revs1">OFFSET('[1]5-Sensitivity Analysis'!$E$84,0,0,1,yearend)</definedName>
    <definedName name="shortfall">OFFSET('[1]5-Sensitivity Analysis'!$E$90,0,0,1,yearend)</definedName>
    <definedName name="trendchartchained">OFFSET('[1]9-Trend Analysis-Acct Type'!$D$65,0,0,1,trendyears)</definedName>
    <definedName name="trendchartnominal">OFFSET('[1]9-Trend Analysis-Acct Type'!$D$64,0,0,1,trendyears)</definedName>
    <definedName name="trendchartpc1">OFFSET('[1]9-Trend Analysis-Acct Type'!$D$71,0,0,1,trendyears)</definedName>
    <definedName name="trendchartpc2">OFFSET('[1]9-Trend Analysis-Acct Type'!$D$72,0,0,1,trendyears)</definedName>
    <definedName name="trendcharttwovar1">OFFSET('[1]9-Trend Analysis-Acct Type'!$D$68,0,0,1,trendyears)</definedName>
    <definedName name="trendchartvar1">OFFSET('[1]9-Trend Analysis-Acct Type'!$D$61,0,0,1,trendyears)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9" i="7" l="1"/>
  <c r="AN84" i="7"/>
  <c r="AM84" i="7"/>
  <c r="AL84" i="7"/>
  <c r="AK84" i="7"/>
  <c r="AJ84" i="7"/>
  <c r="AI84" i="7"/>
  <c r="AH84" i="7"/>
  <c r="AG84" i="7"/>
  <c r="AF84" i="7"/>
  <c r="AE84" i="7"/>
  <c r="AD84" i="7"/>
  <c r="AC84" i="7"/>
  <c r="AB84" i="7"/>
  <c r="AA84" i="7"/>
  <c r="Z84" i="7"/>
  <c r="Y84" i="7"/>
  <c r="X84" i="7"/>
  <c r="W84" i="7"/>
  <c r="V84" i="7"/>
  <c r="U84" i="7"/>
  <c r="T84" i="7"/>
  <c r="S84" i="7"/>
  <c r="R84" i="7"/>
  <c r="Q84" i="7"/>
  <c r="P84" i="7"/>
  <c r="O84" i="7"/>
  <c r="N84" i="7"/>
  <c r="M84" i="7"/>
  <c r="L84" i="7"/>
  <c r="K84" i="7"/>
  <c r="J84" i="7"/>
  <c r="I84" i="7"/>
  <c r="H84" i="7"/>
  <c r="G84" i="7"/>
  <c r="F84" i="7"/>
  <c r="E84" i="7"/>
  <c r="AN66" i="7"/>
  <c r="AM66" i="7"/>
  <c r="AL66" i="7"/>
  <c r="AK66" i="7"/>
  <c r="AJ66" i="7"/>
  <c r="AI66" i="7"/>
  <c r="AH66" i="7"/>
  <c r="AG66" i="7"/>
  <c r="AF66" i="7"/>
  <c r="AE66" i="7"/>
  <c r="AD66" i="7"/>
  <c r="AC66" i="7"/>
  <c r="AB66" i="7"/>
  <c r="AA66" i="7"/>
  <c r="Z66" i="7"/>
  <c r="Y66" i="7"/>
  <c r="X66" i="7"/>
  <c r="W66" i="7"/>
  <c r="V66" i="7"/>
  <c r="U66" i="7"/>
  <c r="T66" i="7"/>
  <c r="S66" i="7"/>
  <c r="R66" i="7"/>
  <c r="Q66" i="7"/>
  <c r="P66" i="7"/>
  <c r="O66" i="7"/>
  <c r="N66" i="7"/>
  <c r="M66" i="7"/>
  <c r="L66" i="7"/>
  <c r="K66" i="7"/>
  <c r="J66" i="7"/>
  <c r="I66" i="7"/>
  <c r="H66" i="7"/>
  <c r="G66" i="7"/>
  <c r="G41" i="7" s="1"/>
  <c r="F66" i="7"/>
  <c r="E66" i="7"/>
  <c r="E87" i="7" s="1"/>
  <c r="AN41" i="7"/>
  <c r="AM41" i="7"/>
  <c r="AL41" i="7"/>
  <c r="AK41" i="7"/>
  <c r="AJ41" i="7"/>
  <c r="AI41" i="7"/>
  <c r="AH41" i="7"/>
  <c r="AG41" i="7"/>
  <c r="AF41" i="7"/>
  <c r="AE41" i="7"/>
  <c r="AD41" i="7"/>
  <c r="AC41" i="7"/>
  <c r="AC42" i="7" s="1"/>
  <c r="AD42" i="7" s="1"/>
  <c r="AE42" i="7" s="1"/>
  <c r="AF42" i="7" s="1"/>
  <c r="AG42" i="7" s="1"/>
  <c r="AH42" i="7" s="1"/>
  <c r="AI42" i="7" s="1"/>
  <c r="AJ42" i="7" s="1"/>
  <c r="AK42" i="7" s="1"/>
  <c r="AL42" i="7" s="1"/>
  <c r="AM42" i="7" s="1"/>
  <c r="AN42" i="7" s="1"/>
  <c r="AB41" i="7"/>
  <c r="AA41" i="7"/>
  <c r="Z41" i="7"/>
  <c r="Y41" i="7"/>
  <c r="X41" i="7"/>
  <c r="W41" i="7"/>
  <c r="V41" i="7"/>
  <c r="U41" i="7"/>
  <c r="T41" i="7"/>
  <c r="S41" i="7"/>
  <c r="R41" i="7"/>
  <c r="Q41" i="7"/>
  <c r="Q42" i="7" s="1"/>
  <c r="R42" i="7" s="1"/>
  <c r="S42" i="7" s="1"/>
  <c r="T42" i="7" s="1"/>
  <c r="U42" i="7" s="1"/>
  <c r="V42" i="7" s="1"/>
  <c r="W42" i="7" s="1"/>
  <c r="X42" i="7" s="1"/>
  <c r="Y42" i="7" s="1"/>
  <c r="Z42" i="7" s="1"/>
  <c r="AA42" i="7" s="1"/>
  <c r="AB42" i="7" s="1"/>
  <c r="P41" i="7"/>
  <c r="O41" i="7"/>
  <c r="N41" i="7"/>
  <c r="M41" i="7"/>
  <c r="L41" i="7"/>
  <c r="K41" i="7"/>
  <c r="J41" i="7"/>
  <c r="I41" i="7"/>
  <c r="H41" i="7"/>
  <c r="F41" i="7"/>
  <c r="E41" i="7"/>
  <c r="E42" i="7" s="1"/>
  <c r="F42" i="7" s="1"/>
  <c r="AN40" i="7"/>
  <c r="AM40" i="7"/>
  <c r="AL40" i="7"/>
  <c r="AK40" i="7"/>
  <c r="AJ40" i="7"/>
  <c r="AI40" i="7"/>
  <c r="AH40" i="7"/>
  <c r="AG40" i="7"/>
  <c r="AF40" i="7"/>
  <c r="AE40" i="7"/>
  <c r="AD40" i="7"/>
  <c r="AC40" i="7"/>
  <c r="AB40" i="7"/>
  <c r="AA40" i="7"/>
  <c r="Z40" i="7"/>
  <c r="Y40" i="7"/>
  <c r="X40" i="7"/>
  <c r="W40" i="7"/>
  <c r="V40" i="7"/>
  <c r="U40" i="7"/>
  <c r="T40" i="7"/>
  <c r="S40" i="7"/>
  <c r="R40" i="7"/>
  <c r="Q40" i="7"/>
  <c r="P40" i="7"/>
  <c r="O40" i="7"/>
  <c r="N40" i="7"/>
  <c r="M40" i="7"/>
  <c r="L40" i="7"/>
  <c r="K40" i="7"/>
  <c r="J40" i="7"/>
  <c r="I40" i="7"/>
  <c r="H40" i="7"/>
  <c r="G40" i="7"/>
  <c r="F40" i="7"/>
  <c r="E40" i="7"/>
  <c r="G42" i="7" l="1"/>
  <c r="H42" i="7" s="1"/>
  <c r="I42" i="7" s="1"/>
  <c r="J42" i="7" s="1"/>
  <c r="K42" i="7" s="1"/>
  <c r="L42" i="7" s="1"/>
  <c r="M42" i="7" s="1"/>
  <c r="N42" i="7" s="1"/>
  <c r="O42" i="7" s="1"/>
  <c r="P42" i="7" s="1"/>
  <c r="F87" i="7"/>
  <c r="E86" i="7"/>
  <c r="E85" i="7"/>
  <c r="E43" i="7"/>
  <c r="F43" i="7" s="1"/>
  <c r="G43" i="7" s="1"/>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N43" i="7" s="1"/>
  <c r="G87" i="7" l="1"/>
  <c r="F86" i="7"/>
  <c r="F85" i="7"/>
  <c r="H87" i="7" l="1"/>
  <c r="G86" i="7"/>
  <c r="G85" i="7"/>
  <c r="I87" i="7" l="1"/>
  <c r="H86" i="7"/>
  <c r="H85" i="7"/>
  <c r="J87" i="7" l="1"/>
  <c r="I86" i="7"/>
  <c r="I85" i="7"/>
  <c r="J86" i="7" l="1"/>
  <c r="K87" i="7"/>
  <c r="J85" i="7"/>
  <c r="L87" i="7" l="1"/>
  <c r="K86" i="7"/>
  <c r="K85" i="7"/>
  <c r="M87" i="7" l="1"/>
  <c r="L86" i="7"/>
  <c r="L85" i="7"/>
  <c r="N87" i="7" l="1"/>
  <c r="M86" i="7"/>
  <c r="M85" i="7"/>
  <c r="O87" i="7" l="1"/>
  <c r="N86" i="7"/>
  <c r="N85" i="7"/>
  <c r="P87" i="7" l="1"/>
  <c r="O86" i="7"/>
  <c r="O85" i="7"/>
  <c r="P86" i="7" l="1"/>
  <c r="P85" i="7"/>
  <c r="Q87" i="7"/>
  <c r="R87" i="7" l="1"/>
  <c r="Q86" i="7"/>
  <c r="Q85" i="7"/>
  <c r="S87" i="7" l="1"/>
  <c r="R86" i="7"/>
  <c r="R85" i="7"/>
  <c r="T87" i="7" l="1"/>
  <c r="S86" i="7"/>
  <c r="S85" i="7"/>
  <c r="U87" i="7" l="1"/>
  <c r="T86" i="7"/>
  <c r="T85" i="7"/>
  <c r="V87" i="7" l="1"/>
  <c r="U86" i="7"/>
  <c r="U85" i="7"/>
  <c r="V85" i="7" l="1"/>
  <c r="W87" i="7"/>
  <c r="V86" i="7"/>
  <c r="X87" i="7" l="1"/>
  <c r="W86" i="7"/>
  <c r="W85" i="7"/>
  <c r="Y87" i="7" l="1"/>
  <c r="X86" i="7"/>
  <c r="X85" i="7"/>
  <c r="Z87" i="7" l="1"/>
  <c r="Y86" i="7"/>
  <c r="Y85" i="7"/>
  <c r="AA87" i="7" l="1"/>
  <c r="Z86" i="7"/>
  <c r="Z85" i="7"/>
  <c r="AB87" i="7" l="1"/>
  <c r="AA86" i="7"/>
  <c r="AA85" i="7"/>
  <c r="AB86" i="7" l="1"/>
  <c r="AB85" i="7"/>
  <c r="AC87" i="7"/>
  <c r="AD87" i="7" l="1"/>
  <c r="AC86" i="7"/>
  <c r="AC85" i="7"/>
  <c r="AE87" i="7" l="1"/>
  <c r="AD86" i="7"/>
  <c r="AD85" i="7"/>
  <c r="AF87" i="7" l="1"/>
  <c r="AE86" i="7"/>
  <c r="AE85" i="7"/>
  <c r="AG87" i="7" l="1"/>
  <c r="AF86" i="7"/>
  <c r="AF85" i="7"/>
  <c r="AH87" i="7" l="1"/>
  <c r="AG86" i="7"/>
  <c r="AG85" i="7"/>
  <c r="AI87" i="7" l="1"/>
  <c r="AH86" i="7"/>
  <c r="AH85" i="7"/>
  <c r="AJ87" i="7" l="1"/>
  <c r="AI86" i="7"/>
  <c r="AI85" i="7"/>
  <c r="AK87" i="7" l="1"/>
  <c r="AJ86" i="7"/>
  <c r="AJ85" i="7"/>
  <c r="AL87" i="7" l="1"/>
  <c r="AK86" i="7"/>
  <c r="AK85" i="7"/>
  <c r="AM87" i="7" l="1"/>
  <c r="AL86" i="7"/>
  <c r="AL85" i="7"/>
  <c r="AN87" i="7" l="1"/>
  <c r="AM86" i="7"/>
  <c r="AM85" i="7"/>
  <c r="AN86" i="7" l="1"/>
  <c r="AN85" i="7"/>
  <c r="F410" i="3" l="1"/>
  <c r="E410" i="3"/>
  <c r="H410" i="3" s="1"/>
  <c r="D410" i="3"/>
  <c r="C410" i="3"/>
  <c r="B410" i="3"/>
  <c r="A410" i="3"/>
  <c r="E409" i="3"/>
  <c r="F409" i="3" s="1"/>
  <c r="D409" i="3"/>
  <c r="C409" i="3"/>
  <c r="B409" i="3"/>
  <c r="A409" i="3"/>
  <c r="H408" i="3"/>
  <c r="F408" i="3"/>
  <c r="E408" i="3"/>
  <c r="D408" i="3"/>
  <c r="C408" i="3"/>
  <c r="B408" i="3"/>
  <c r="A408" i="3"/>
  <c r="H407" i="3"/>
  <c r="E407" i="3"/>
  <c r="F407" i="3" s="1"/>
  <c r="D407" i="3"/>
  <c r="C407" i="3"/>
  <c r="B407" i="3"/>
  <c r="A407" i="3"/>
  <c r="E406" i="3"/>
  <c r="H406" i="3" s="1"/>
  <c r="D406" i="3"/>
  <c r="F406" i="3" s="1"/>
  <c r="C406" i="3"/>
  <c r="B406" i="3"/>
  <c r="A406" i="3"/>
  <c r="E405" i="3"/>
  <c r="F405" i="3" s="1"/>
  <c r="D405" i="3"/>
  <c r="C405" i="3"/>
  <c r="B405" i="3"/>
  <c r="A405" i="3"/>
  <c r="E404" i="3"/>
  <c r="H404" i="3" s="1"/>
  <c r="D404" i="3"/>
  <c r="C404" i="3"/>
  <c r="B404" i="3"/>
  <c r="A404" i="3"/>
  <c r="H403" i="3"/>
  <c r="E403" i="3"/>
  <c r="F403" i="3" s="1"/>
  <c r="D403" i="3"/>
  <c r="C403" i="3"/>
  <c r="B403" i="3"/>
  <c r="A403" i="3"/>
  <c r="H402" i="3"/>
  <c r="F402" i="3"/>
  <c r="E402" i="3"/>
  <c r="D402" i="3"/>
  <c r="C402" i="3"/>
  <c r="B402" i="3"/>
  <c r="A402" i="3"/>
  <c r="H401" i="3"/>
  <c r="E401" i="3"/>
  <c r="F401" i="3" s="1"/>
  <c r="D401" i="3"/>
  <c r="C401" i="3"/>
  <c r="B401" i="3"/>
  <c r="A401" i="3"/>
  <c r="E400" i="3"/>
  <c r="H400" i="3" s="1"/>
  <c r="D400" i="3"/>
  <c r="C400" i="3"/>
  <c r="B400" i="3"/>
  <c r="A400" i="3"/>
  <c r="E399" i="3"/>
  <c r="H399" i="3" s="1"/>
  <c r="D399" i="3"/>
  <c r="C399" i="3"/>
  <c r="B399" i="3"/>
  <c r="A399" i="3"/>
  <c r="H398" i="3"/>
  <c r="F398" i="3"/>
  <c r="E398" i="3"/>
  <c r="D398" i="3"/>
  <c r="C398" i="3"/>
  <c r="B398" i="3"/>
  <c r="A398" i="3"/>
  <c r="E397" i="3"/>
  <c r="F397" i="3" s="1"/>
  <c r="D397" i="3"/>
  <c r="C397" i="3"/>
  <c r="B397" i="3"/>
  <c r="A397" i="3"/>
  <c r="B342" i="3"/>
  <c r="A342" i="3"/>
  <c r="AB106" i="2"/>
  <c r="AN106" i="2" s="1"/>
  <c r="AA106" i="2"/>
  <c r="AM106" i="2" s="1"/>
  <c r="W106" i="2"/>
  <c r="AI106" i="2" s="1"/>
  <c r="U106" i="2"/>
  <c r="AG106" i="2" s="1"/>
  <c r="B341" i="3"/>
  <c r="A341" i="3"/>
  <c r="X105" i="2"/>
  <c r="AJ105" i="2" s="1"/>
  <c r="R105" i="2"/>
  <c r="AD105" i="2" s="1"/>
  <c r="B340" i="3"/>
  <c r="A340" i="3"/>
  <c r="AB104" i="2"/>
  <c r="AN104" i="2" s="1"/>
  <c r="AA104" i="2"/>
  <c r="AM104" i="2" s="1"/>
  <c r="W104" i="2"/>
  <c r="AI104" i="2" s="1"/>
  <c r="U104" i="2"/>
  <c r="AG104" i="2" s="1"/>
  <c r="B339" i="3"/>
  <c r="A339" i="3"/>
  <c r="AB103" i="2"/>
  <c r="AN103" i="2" s="1"/>
  <c r="AA103" i="2"/>
  <c r="AM103" i="2" s="1"/>
  <c r="W103" i="2"/>
  <c r="AI103" i="2" s="1"/>
  <c r="U103" i="2"/>
  <c r="AG103" i="2" s="1"/>
  <c r="Q103" i="2"/>
  <c r="AC103" i="2" s="1"/>
  <c r="A338" i="3"/>
  <c r="X102" i="2"/>
  <c r="AJ102" i="2" s="1"/>
  <c r="R102" i="2"/>
  <c r="AD102" i="2" s="1"/>
  <c r="Q102" i="2"/>
  <c r="AC102" i="2" s="1"/>
  <c r="A337" i="3"/>
  <c r="AB101" i="2"/>
  <c r="AN101" i="2" s="1"/>
  <c r="AA101" i="2"/>
  <c r="AM101" i="2" s="1"/>
  <c r="Z101" i="2"/>
  <c r="AL101" i="2" s="1"/>
  <c r="V101" i="2"/>
  <c r="AH101" i="2" s="1"/>
  <c r="T101" i="2"/>
  <c r="AF101" i="2" s="1"/>
  <c r="B336" i="3"/>
  <c r="A336" i="3"/>
  <c r="AB100" i="2"/>
  <c r="AN100" i="2" s="1"/>
  <c r="AA100" i="2"/>
  <c r="AM100" i="2" s="1"/>
  <c r="W100" i="2"/>
  <c r="AI100" i="2" s="1"/>
  <c r="U100" i="2"/>
  <c r="AG100" i="2" s="1"/>
  <c r="B335" i="3"/>
  <c r="A335" i="3"/>
  <c r="Z99" i="2"/>
  <c r="AL99" i="2" s="1"/>
  <c r="Y99" i="2"/>
  <c r="AK99" i="2" s="1"/>
  <c r="X99" i="2"/>
  <c r="AJ99" i="2" s="1"/>
  <c r="T99" i="2"/>
  <c r="AF99" i="2" s="1"/>
  <c r="R99" i="2"/>
  <c r="AD99" i="2" s="1"/>
  <c r="B334" i="3"/>
  <c r="A334" i="3"/>
  <c r="Z98" i="2"/>
  <c r="AL98" i="2" s="1"/>
  <c r="Y98" i="2"/>
  <c r="AK98" i="2" s="1"/>
  <c r="T98" i="2"/>
  <c r="AF98" i="2" s="1"/>
  <c r="B333" i="3"/>
  <c r="A333" i="3"/>
  <c r="Y97" i="2"/>
  <c r="AK97" i="2" s="1"/>
  <c r="X97" i="2"/>
  <c r="AJ97" i="2" s="1"/>
  <c r="W97" i="2"/>
  <c r="AI97" i="2" s="1"/>
  <c r="Q97" i="2"/>
  <c r="AC97" i="2" s="1"/>
  <c r="A332" i="3"/>
  <c r="Y96" i="2"/>
  <c r="AK96" i="2" s="1"/>
  <c r="X96" i="2"/>
  <c r="AJ96" i="2" s="1"/>
  <c r="W96" i="2"/>
  <c r="AI96" i="2" s="1"/>
  <c r="S96" i="2"/>
  <c r="AE96" i="2" s="1"/>
  <c r="Q96" i="2"/>
  <c r="AC96" i="2" s="1"/>
  <c r="A331" i="3"/>
  <c r="Y95" i="2"/>
  <c r="AK95" i="2" s="1"/>
  <c r="S95" i="2"/>
  <c r="AE95" i="2" s="1"/>
  <c r="B330" i="3"/>
  <c r="A330" i="3"/>
  <c r="AB94" i="2"/>
  <c r="AN94" i="2" s="1"/>
  <c r="X94" i="2"/>
  <c r="AJ94" i="2" s="1"/>
  <c r="W94" i="2"/>
  <c r="AI94" i="2" s="1"/>
  <c r="V94" i="2"/>
  <c r="AH94" i="2" s="1"/>
  <c r="R94" i="2"/>
  <c r="AD94" i="2" s="1"/>
  <c r="B329" i="3"/>
  <c r="A329" i="3"/>
  <c r="B273" i="3"/>
  <c r="A273" i="3"/>
  <c r="B272" i="3"/>
  <c r="A272" i="3"/>
  <c r="O105" i="2"/>
  <c r="L105" i="2"/>
  <c r="A271" i="3"/>
  <c r="N104" i="2"/>
  <c r="B270" i="3"/>
  <c r="A270" i="3"/>
  <c r="M103" i="2"/>
  <c r="B269" i="3"/>
  <c r="A269" i="3"/>
  <c r="P102" i="2"/>
  <c r="L102" i="2"/>
  <c r="J102" i="2"/>
  <c r="B268" i="3"/>
  <c r="A268" i="3"/>
  <c r="P101" i="2"/>
  <c r="K101" i="2"/>
  <c r="B267" i="3"/>
  <c r="A267" i="3"/>
  <c r="O100" i="2"/>
  <c r="N100" i="2"/>
  <c r="B266" i="3"/>
  <c r="H100" i="2"/>
  <c r="A266" i="3"/>
  <c r="M99" i="2"/>
  <c r="B265" i="3"/>
  <c r="A265" i="3"/>
  <c r="K98" i="2"/>
  <c r="B264" i="3"/>
  <c r="A264" i="3"/>
  <c r="L97" i="2"/>
  <c r="K97" i="2"/>
  <c r="B263" i="3"/>
  <c r="A263" i="3"/>
  <c r="N96" i="2"/>
  <c r="I96" i="2"/>
  <c r="B262" i="3"/>
  <c r="A262" i="3"/>
  <c r="J95" i="2"/>
  <c r="H95" i="2"/>
  <c r="A261" i="3"/>
  <c r="P94" i="2"/>
  <c r="I94" i="2"/>
  <c r="B260" i="3"/>
  <c r="A260" i="3"/>
  <c r="N206" i="3"/>
  <c r="M206" i="3"/>
  <c r="L206" i="3"/>
  <c r="K206" i="3"/>
  <c r="J206" i="3"/>
  <c r="I206" i="3"/>
  <c r="H206" i="3"/>
  <c r="G206" i="3"/>
  <c r="F206" i="3"/>
  <c r="E206" i="3"/>
  <c r="D206" i="3"/>
  <c r="C206" i="3"/>
  <c r="A206" i="3"/>
  <c r="N205" i="3"/>
  <c r="M205" i="3"/>
  <c r="L205" i="3"/>
  <c r="K205" i="3"/>
  <c r="J205" i="3"/>
  <c r="I205" i="3"/>
  <c r="H205" i="3"/>
  <c r="G205" i="3"/>
  <c r="F205" i="3"/>
  <c r="E205" i="3"/>
  <c r="D205" i="3"/>
  <c r="C205" i="3"/>
  <c r="A205" i="3"/>
  <c r="N204" i="3"/>
  <c r="M204" i="3"/>
  <c r="L204" i="3"/>
  <c r="K204" i="3"/>
  <c r="J204" i="3"/>
  <c r="I204" i="3"/>
  <c r="H204" i="3"/>
  <c r="G204" i="3"/>
  <c r="F204" i="3"/>
  <c r="E204" i="3"/>
  <c r="D204" i="3"/>
  <c r="C204" i="3"/>
  <c r="A204" i="3"/>
  <c r="N203" i="3"/>
  <c r="M203" i="3"/>
  <c r="L203" i="3"/>
  <c r="K203" i="3"/>
  <c r="J203" i="3"/>
  <c r="I203" i="3"/>
  <c r="H203" i="3"/>
  <c r="G203" i="3"/>
  <c r="F203" i="3"/>
  <c r="E203" i="3"/>
  <c r="D203" i="3"/>
  <c r="C203" i="3"/>
  <c r="A203" i="3"/>
  <c r="N202" i="3"/>
  <c r="M202" i="3"/>
  <c r="L202" i="3"/>
  <c r="K202" i="3"/>
  <c r="J202" i="3"/>
  <c r="I202" i="3"/>
  <c r="H202" i="3"/>
  <c r="G202" i="3"/>
  <c r="F202" i="3"/>
  <c r="E202" i="3"/>
  <c r="D202" i="3"/>
  <c r="C202" i="3"/>
  <c r="A202" i="3"/>
  <c r="N201" i="3"/>
  <c r="M201" i="3"/>
  <c r="L201" i="3"/>
  <c r="K201" i="3"/>
  <c r="J201" i="3"/>
  <c r="I201" i="3"/>
  <c r="H201" i="3"/>
  <c r="G201" i="3"/>
  <c r="F201" i="3"/>
  <c r="E201" i="3"/>
  <c r="D201" i="3"/>
  <c r="C201" i="3"/>
  <c r="A201" i="3"/>
  <c r="N200" i="3"/>
  <c r="M200" i="3"/>
  <c r="L200" i="3"/>
  <c r="K200" i="3"/>
  <c r="J200" i="3"/>
  <c r="I200" i="3"/>
  <c r="H200" i="3"/>
  <c r="G200" i="3"/>
  <c r="F200" i="3"/>
  <c r="E200" i="3"/>
  <c r="D200" i="3"/>
  <c r="C200" i="3"/>
  <c r="A200" i="3"/>
  <c r="N199" i="3"/>
  <c r="M199" i="3"/>
  <c r="L199" i="3"/>
  <c r="K199" i="3"/>
  <c r="J199" i="3"/>
  <c r="I199" i="3"/>
  <c r="H199" i="3"/>
  <c r="G199" i="3"/>
  <c r="F199" i="3"/>
  <c r="E199" i="3"/>
  <c r="D199" i="3"/>
  <c r="C199" i="3"/>
  <c r="A199" i="3"/>
  <c r="N198" i="3"/>
  <c r="M198" i="3"/>
  <c r="L198" i="3"/>
  <c r="K198" i="3"/>
  <c r="J198" i="3"/>
  <c r="I198" i="3"/>
  <c r="H198" i="3"/>
  <c r="G198" i="3"/>
  <c r="F198" i="3"/>
  <c r="E198" i="3"/>
  <c r="D198" i="3"/>
  <c r="C198" i="3"/>
  <c r="A198" i="3"/>
  <c r="N197" i="3"/>
  <c r="M197" i="3"/>
  <c r="L197" i="3"/>
  <c r="K197" i="3"/>
  <c r="J197" i="3"/>
  <c r="I197" i="3"/>
  <c r="H197" i="3"/>
  <c r="G197" i="3"/>
  <c r="F197" i="3"/>
  <c r="E197" i="3"/>
  <c r="D197" i="3"/>
  <c r="C197" i="3"/>
  <c r="A197" i="3"/>
  <c r="N196" i="3"/>
  <c r="M196" i="3"/>
  <c r="L196" i="3"/>
  <c r="K196" i="3"/>
  <c r="J196" i="3"/>
  <c r="I196" i="3"/>
  <c r="H196" i="3"/>
  <c r="G196" i="3"/>
  <c r="F196" i="3"/>
  <c r="E196" i="3"/>
  <c r="D196" i="3"/>
  <c r="C196" i="3"/>
  <c r="A196" i="3"/>
  <c r="N195" i="3"/>
  <c r="M195" i="3"/>
  <c r="L195" i="3"/>
  <c r="K195" i="3"/>
  <c r="J195" i="3"/>
  <c r="I195" i="3"/>
  <c r="H195" i="3"/>
  <c r="G195" i="3"/>
  <c r="F195" i="3"/>
  <c r="E195" i="3"/>
  <c r="D195" i="3"/>
  <c r="C195" i="3"/>
  <c r="A195" i="3"/>
  <c r="N194" i="3"/>
  <c r="M194" i="3"/>
  <c r="L194" i="3"/>
  <c r="K194" i="3"/>
  <c r="J194" i="3"/>
  <c r="I194" i="3"/>
  <c r="H194" i="3"/>
  <c r="G194" i="3"/>
  <c r="F194" i="3"/>
  <c r="E194" i="3"/>
  <c r="D194" i="3"/>
  <c r="C194" i="3"/>
  <c r="A194" i="3"/>
  <c r="N193" i="3"/>
  <c r="M193" i="3"/>
  <c r="L193" i="3"/>
  <c r="K193" i="3"/>
  <c r="J193" i="3"/>
  <c r="I193" i="3"/>
  <c r="H193" i="3"/>
  <c r="G193" i="3"/>
  <c r="F193" i="3"/>
  <c r="E193" i="3"/>
  <c r="D193" i="3"/>
  <c r="C193" i="3"/>
  <c r="A193" i="3"/>
  <c r="B137" i="3"/>
  <c r="A137" i="3"/>
  <c r="B136" i="3"/>
  <c r="A136" i="3"/>
  <c r="B135" i="3"/>
  <c r="A135" i="3"/>
  <c r="B134" i="3"/>
  <c r="A134" i="3"/>
  <c r="B133" i="3"/>
  <c r="A133" i="3"/>
  <c r="B132" i="3"/>
  <c r="A132" i="3"/>
  <c r="B131" i="3"/>
  <c r="A131" i="3"/>
  <c r="B130" i="3"/>
  <c r="A130" i="3"/>
  <c r="B129" i="3"/>
  <c r="A129" i="3"/>
  <c r="B128" i="3"/>
  <c r="A128" i="3"/>
  <c r="B127" i="3"/>
  <c r="A127" i="3"/>
  <c r="B126" i="3"/>
  <c r="A126" i="3"/>
  <c r="B125" i="3"/>
  <c r="A125" i="3"/>
  <c r="B124" i="3"/>
  <c r="A124" i="3"/>
  <c r="B123" i="3"/>
  <c r="A123" i="3"/>
  <c r="B122" i="3"/>
  <c r="A122" i="3"/>
  <c r="B70" i="3"/>
  <c r="B69" i="3"/>
  <c r="B68" i="3"/>
  <c r="B67" i="3"/>
  <c r="B66" i="3"/>
  <c r="B65" i="3"/>
  <c r="B64" i="3"/>
  <c r="B63" i="3"/>
  <c r="B62" i="3"/>
  <c r="B61" i="3"/>
  <c r="B60" i="3"/>
  <c r="B59" i="3"/>
  <c r="B58" i="3"/>
  <c r="B57" i="3"/>
  <c r="P107" i="2"/>
  <c r="O107" i="2"/>
  <c r="N107" i="2"/>
  <c r="M107" i="2"/>
  <c r="L107" i="2"/>
  <c r="K107" i="2"/>
  <c r="J107" i="2"/>
  <c r="I107" i="2"/>
  <c r="H107" i="2"/>
  <c r="G107" i="2"/>
  <c r="F107" i="2"/>
  <c r="E107" i="2"/>
  <c r="D107" i="2"/>
  <c r="Z106" i="2"/>
  <c r="AL106" i="2" s="1"/>
  <c r="Y106" i="2"/>
  <c r="AK106" i="2" s="1"/>
  <c r="X106" i="2"/>
  <c r="AJ106" i="2" s="1"/>
  <c r="V106" i="2"/>
  <c r="AH106" i="2" s="1"/>
  <c r="T106" i="2"/>
  <c r="AF106" i="2" s="1"/>
  <c r="S106" i="2"/>
  <c r="AE106" i="2" s="1"/>
  <c r="R106" i="2"/>
  <c r="AD106" i="2" s="1"/>
  <c r="P106" i="2"/>
  <c r="O106" i="2"/>
  <c r="N106" i="2"/>
  <c r="M106" i="2"/>
  <c r="L106" i="2"/>
  <c r="K106" i="2"/>
  <c r="J106" i="2"/>
  <c r="I106" i="2"/>
  <c r="H106" i="2"/>
  <c r="G106" i="2"/>
  <c r="F106" i="2"/>
  <c r="E106" i="2"/>
  <c r="D106" i="2"/>
  <c r="AB105" i="2"/>
  <c r="AN105" i="2" s="1"/>
  <c r="AA105" i="2"/>
  <c r="AM105" i="2" s="1"/>
  <c r="Z105" i="2"/>
  <c r="AL105" i="2" s="1"/>
  <c r="Y105" i="2"/>
  <c r="AK105" i="2" s="1"/>
  <c r="W105" i="2"/>
  <c r="AI105" i="2" s="1"/>
  <c r="V105" i="2"/>
  <c r="AH105" i="2" s="1"/>
  <c r="U105" i="2"/>
  <c r="AG105" i="2" s="1"/>
  <c r="T105" i="2"/>
  <c r="AF105" i="2" s="1"/>
  <c r="S105" i="2"/>
  <c r="AE105" i="2" s="1"/>
  <c r="P105" i="2"/>
  <c r="N105" i="2"/>
  <c r="M105" i="2"/>
  <c r="K105" i="2"/>
  <c r="J105" i="2"/>
  <c r="I105" i="2"/>
  <c r="H105" i="2"/>
  <c r="G105" i="2"/>
  <c r="F105" i="2"/>
  <c r="E105" i="2"/>
  <c r="D105" i="2"/>
  <c r="Z104" i="2"/>
  <c r="AL104" i="2" s="1"/>
  <c r="Y104" i="2"/>
  <c r="AK104" i="2" s="1"/>
  <c r="X104" i="2"/>
  <c r="AJ104" i="2" s="1"/>
  <c r="V104" i="2"/>
  <c r="AH104" i="2" s="1"/>
  <c r="T104" i="2"/>
  <c r="AF104" i="2" s="1"/>
  <c r="S104" i="2"/>
  <c r="AE104" i="2" s="1"/>
  <c r="R104" i="2"/>
  <c r="AD104" i="2" s="1"/>
  <c r="Q104" i="2"/>
  <c r="AC104" i="2" s="1"/>
  <c r="P104" i="2"/>
  <c r="O104" i="2"/>
  <c r="M104" i="2"/>
  <c r="L104" i="2"/>
  <c r="K104" i="2"/>
  <c r="J104" i="2"/>
  <c r="I104" i="2"/>
  <c r="H104" i="2"/>
  <c r="G104" i="2"/>
  <c r="F104" i="2"/>
  <c r="E104" i="2"/>
  <c r="D104" i="2"/>
  <c r="Z103" i="2"/>
  <c r="AL103" i="2" s="1"/>
  <c r="Y103" i="2"/>
  <c r="AK103" i="2" s="1"/>
  <c r="X103" i="2"/>
  <c r="AJ103" i="2" s="1"/>
  <c r="V103" i="2"/>
  <c r="AH103" i="2" s="1"/>
  <c r="T103" i="2"/>
  <c r="AF103" i="2" s="1"/>
  <c r="S103" i="2"/>
  <c r="AE103" i="2" s="1"/>
  <c r="R103" i="2"/>
  <c r="AD103" i="2" s="1"/>
  <c r="P103" i="2"/>
  <c r="O103" i="2"/>
  <c r="N103" i="2"/>
  <c r="L103" i="2"/>
  <c r="K103" i="2"/>
  <c r="J103" i="2"/>
  <c r="I103" i="2"/>
  <c r="H103" i="2"/>
  <c r="G103" i="2"/>
  <c r="F103" i="2"/>
  <c r="E103" i="2"/>
  <c r="D103" i="2"/>
  <c r="AB102" i="2"/>
  <c r="AN102" i="2" s="1"/>
  <c r="AA102" i="2"/>
  <c r="AM102" i="2" s="1"/>
  <c r="Z102" i="2"/>
  <c r="AL102" i="2" s="1"/>
  <c r="Y102" i="2"/>
  <c r="AK102" i="2" s="1"/>
  <c r="W102" i="2"/>
  <c r="AI102" i="2" s="1"/>
  <c r="V102" i="2"/>
  <c r="AH102" i="2" s="1"/>
  <c r="U102" i="2"/>
  <c r="AG102" i="2" s="1"/>
  <c r="T102" i="2"/>
  <c r="AF102" i="2" s="1"/>
  <c r="S102" i="2"/>
  <c r="AE102" i="2" s="1"/>
  <c r="O102" i="2"/>
  <c r="N102" i="2"/>
  <c r="M102" i="2"/>
  <c r="K102" i="2"/>
  <c r="I102" i="2"/>
  <c r="H102" i="2"/>
  <c r="G102" i="2"/>
  <c r="F102" i="2"/>
  <c r="E102" i="2"/>
  <c r="D102" i="2"/>
  <c r="Y101" i="2"/>
  <c r="AK101" i="2" s="1"/>
  <c r="X101" i="2"/>
  <c r="AJ101" i="2" s="1"/>
  <c r="W101" i="2"/>
  <c r="AI101" i="2" s="1"/>
  <c r="U101" i="2"/>
  <c r="AG101" i="2" s="1"/>
  <c r="S101" i="2"/>
  <c r="AE101" i="2" s="1"/>
  <c r="R101" i="2"/>
  <c r="AD101" i="2" s="1"/>
  <c r="Q101" i="2"/>
  <c r="AC101" i="2" s="1"/>
  <c r="O101" i="2"/>
  <c r="N101" i="2"/>
  <c r="M101" i="2"/>
  <c r="L101" i="2"/>
  <c r="J101" i="2"/>
  <c r="I101" i="2"/>
  <c r="H101" i="2"/>
  <c r="G101" i="2"/>
  <c r="F101" i="2"/>
  <c r="E101" i="2"/>
  <c r="D101" i="2"/>
  <c r="Z100" i="2"/>
  <c r="AL100" i="2" s="1"/>
  <c r="Y100" i="2"/>
  <c r="AK100" i="2" s="1"/>
  <c r="X100" i="2"/>
  <c r="AJ100" i="2" s="1"/>
  <c r="V100" i="2"/>
  <c r="AH100" i="2" s="1"/>
  <c r="T100" i="2"/>
  <c r="AF100" i="2" s="1"/>
  <c r="S100" i="2"/>
  <c r="AE100" i="2" s="1"/>
  <c r="R100" i="2"/>
  <c r="AD100" i="2" s="1"/>
  <c r="P100" i="2"/>
  <c r="M100" i="2"/>
  <c r="L100" i="2"/>
  <c r="K100" i="2"/>
  <c r="I100" i="2"/>
  <c r="G100" i="2"/>
  <c r="F100" i="2"/>
  <c r="E100" i="2"/>
  <c r="D100" i="2"/>
  <c r="AB99" i="2"/>
  <c r="AN99" i="2" s="1"/>
  <c r="AA99" i="2"/>
  <c r="AM99" i="2" s="1"/>
  <c r="W99" i="2"/>
  <c r="AI99" i="2" s="1"/>
  <c r="V99" i="2"/>
  <c r="AH99" i="2" s="1"/>
  <c r="U99" i="2"/>
  <c r="AG99" i="2" s="1"/>
  <c r="S99" i="2"/>
  <c r="AE99" i="2" s="1"/>
  <c r="Q99" i="2"/>
  <c r="AC99" i="2" s="1"/>
  <c r="P99" i="2"/>
  <c r="O99" i="2"/>
  <c r="N99" i="2"/>
  <c r="L99" i="2"/>
  <c r="K99" i="2"/>
  <c r="J99" i="2"/>
  <c r="H99" i="2"/>
  <c r="G99" i="2"/>
  <c r="F99" i="2"/>
  <c r="E99" i="2"/>
  <c r="D99" i="2"/>
  <c r="AB98" i="2"/>
  <c r="AN98" i="2" s="1"/>
  <c r="AA98" i="2"/>
  <c r="AM98" i="2" s="1"/>
  <c r="X98" i="2"/>
  <c r="AJ98" i="2" s="1"/>
  <c r="W98" i="2"/>
  <c r="AI98" i="2" s="1"/>
  <c r="V98" i="2"/>
  <c r="AH98" i="2" s="1"/>
  <c r="U98" i="2"/>
  <c r="AG98" i="2" s="1"/>
  <c r="S98" i="2"/>
  <c r="AE98" i="2" s="1"/>
  <c r="R98" i="2"/>
  <c r="AD98" i="2" s="1"/>
  <c r="Q98" i="2"/>
  <c r="AC98" i="2" s="1"/>
  <c r="P98" i="2"/>
  <c r="O98" i="2"/>
  <c r="N98" i="2"/>
  <c r="M98" i="2"/>
  <c r="L98" i="2"/>
  <c r="J98" i="2"/>
  <c r="I98" i="2"/>
  <c r="G98" i="2"/>
  <c r="F98" i="2"/>
  <c r="E98" i="2"/>
  <c r="D98" i="2"/>
  <c r="AB97" i="2"/>
  <c r="AN97" i="2" s="1"/>
  <c r="AA97" i="2"/>
  <c r="AM97" i="2" s="1"/>
  <c r="Z97" i="2"/>
  <c r="AL97" i="2" s="1"/>
  <c r="V97" i="2"/>
  <c r="AH97" i="2" s="1"/>
  <c r="U97" i="2"/>
  <c r="AG97" i="2" s="1"/>
  <c r="T97" i="2"/>
  <c r="AF97" i="2" s="1"/>
  <c r="S97" i="2"/>
  <c r="AE97" i="2" s="1"/>
  <c r="R97" i="2"/>
  <c r="AD97" i="2" s="1"/>
  <c r="P97" i="2"/>
  <c r="O97" i="2"/>
  <c r="N97" i="2"/>
  <c r="M97" i="2"/>
  <c r="J97" i="2"/>
  <c r="I97" i="2"/>
  <c r="H97" i="2"/>
  <c r="G97" i="2"/>
  <c r="F97" i="2"/>
  <c r="E97" i="2"/>
  <c r="D97" i="2"/>
  <c r="AB96" i="2"/>
  <c r="AN96" i="2" s="1"/>
  <c r="AA96" i="2"/>
  <c r="AM96" i="2" s="1"/>
  <c r="Z96" i="2"/>
  <c r="AL96" i="2" s="1"/>
  <c r="V96" i="2"/>
  <c r="AH96" i="2" s="1"/>
  <c r="U96" i="2"/>
  <c r="AG96" i="2" s="1"/>
  <c r="T96" i="2"/>
  <c r="AF96" i="2" s="1"/>
  <c r="R96" i="2"/>
  <c r="AD96" i="2" s="1"/>
  <c r="P96" i="2"/>
  <c r="O96" i="2"/>
  <c r="M96" i="2"/>
  <c r="L96" i="2"/>
  <c r="K96" i="2"/>
  <c r="J96" i="2"/>
  <c r="H96" i="2"/>
  <c r="G96" i="2"/>
  <c r="F96" i="2"/>
  <c r="E96" i="2"/>
  <c r="D96" i="2"/>
  <c r="AB95" i="2"/>
  <c r="AN95" i="2" s="1"/>
  <c r="AA95" i="2"/>
  <c r="AM95" i="2" s="1"/>
  <c r="Z95" i="2"/>
  <c r="AL95" i="2" s="1"/>
  <c r="X95" i="2"/>
  <c r="AJ95" i="2" s="1"/>
  <c r="W95" i="2"/>
  <c r="AI95" i="2" s="1"/>
  <c r="V95" i="2"/>
  <c r="AH95" i="2" s="1"/>
  <c r="U95" i="2"/>
  <c r="AG95" i="2" s="1"/>
  <c r="T95" i="2"/>
  <c r="AF95" i="2" s="1"/>
  <c r="R95" i="2"/>
  <c r="AD95" i="2" s="1"/>
  <c r="P95" i="2"/>
  <c r="O95" i="2"/>
  <c r="N95" i="2"/>
  <c r="M95" i="2"/>
  <c r="L95" i="2"/>
  <c r="K95" i="2"/>
  <c r="I95" i="2"/>
  <c r="G95" i="2"/>
  <c r="F95" i="2"/>
  <c r="E95" i="2"/>
  <c r="D95" i="2"/>
  <c r="AA94" i="2"/>
  <c r="AM94" i="2" s="1"/>
  <c r="Z94" i="2"/>
  <c r="AL94" i="2" s="1"/>
  <c r="Y94" i="2"/>
  <c r="AK94" i="2" s="1"/>
  <c r="U94" i="2"/>
  <c r="AG94" i="2" s="1"/>
  <c r="T94" i="2"/>
  <c r="AF94" i="2" s="1"/>
  <c r="S94" i="2"/>
  <c r="AE94" i="2" s="1"/>
  <c r="Q94" i="2"/>
  <c r="AC94" i="2" s="1"/>
  <c r="O94" i="2"/>
  <c r="N94" i="2"/>
  <c r="M94" i="2"/>
  <c r="L94" i="2"/>
  <c r="K94" i="2"/>
  <c r="J94" i="2"/>
  <c r="H94" i="2"/>
  <c r="G94" i="2"/>
  <c r="F94" i="2"/>
  <c r="E94" i="2"/>
  <c r="D94" i="2"/>
  <c r="D378" i="3"/>
  <c r="B378" i="3"/>
  <c r="A378" i="3"/>
  <c r="E377" i="3"/>
  <c r="H377" i="3" s="1"/>
  <c r="D377" i="3"/>
  <c r="C377" i="3"/>
  <c r="B377" i="3"/>
  <c r="A377" i="3"/>
  <c r="H376" i="3"/>
  <c r="E376" i="3"/>
  <c r="D376" i="3"/>
  <c r="C376" i="3"/>
  <c r="B376" i="3"/>
  <c r="A376" i="3"/>
  <c r="H375" i="3"/>
  <c r="E375" i="3"/>
  <c r="D375" i="3"/>
  <c r="C375" i="3"/>
  <c r="B375" i="3"/>
  <c r="A375" i="3"/>
  <c r="E374" i="3"/>
  <c r="H374" i="3" s="1"/>
  <c r="D374" i="3"/>
  <c r="C374" i="3"/>
  <c r="B374" i="3"/>
  <c r="A374" i="3"/>
  <c r="E373" i="3"/>
  <c r="D373" i="3"/>
  <c r="C373" i="3"/>
  <c r="B373" i="3"/>
  <c r="A373" i="3"/>
  <c r="E372" i="3"/>
  <c r="D372" i="3"/>
  <c r="C372" i="3"/>
  <c r="B372" i="3"/>
  <c r="A372" i="3"/>
  <c r="E371" i="3"/>
  <c r="H371" i="3" s="1"/>
  <c r="D371" i="3"/>
  <c r="C371" i="3"/>
  <c r="B371" i="3"/>
  <c r="A371" i="3"/>
  <c r="H370" i="3"/>
  <c r="E370" i="3"/>
  <c r="D370" i="3"/>
  <c r="C370" i="3"/>
  <c r="B370" i="3"/>
  <c r="A370" i="3"/>
  <c r="H369" i="3"/>
  <c r="E369" i="3"/>
  <c r="D369" i="3"/>
  <c r="C369" i="3"/>
  <c r="B369" i="3"/>
  <c r="A369" i="3"/>
  <c r="E368" i="3"/>
  <c r="H368" i="3" s="1"/>
  <c r="D368" i="3"/>
  <c r="C368" i="3"/>
  <c r="B368" i="3"/>
  <c r="A368" i="3"/>
  <c r="E367" i="3"/>
  <c r="H367" i="3" s="1"/>
  <c r="D367" i="3"/>
  <c r="C367" i="3"/>
  <c r="B367" i="3"/>
  <c r="A367" i="3"/>
  <c r="E366" i="3"/>
  <c r="H366" i="3" s="1"/>
  <c r="D366" i="3"/>
  <c r="C366" i="3"/>
  <c r="B366" i="3"/>
  <c r="A366" i="3"/>
  <c r="E365" i="3"/>
  <c r="H365" i="3" s="1"/>
  <c r="D365" i="3"/>
  <c r="C365" i="3"/>
  <c r="B365" i="3"/>
  <c r="A365" i="3"/>
  <c r="A310" i="3"/>
  <c r="B309" i="3"/>
  <c r="A309" i="3"/>
  <c r="B308" i="3"/>
  <c r="A308" i="3"/>
  <c r="B307" i="3"/>
  <c r="A307" i="3"/>
  <c r="B306" i="3"/>
  <c r="A306" i="3"/>
  <c r="B305" i="3"/>
  <c r="A305" i="3"/>
  <c r="B304" i="3"/>
  <c r="A304" i="3"/>
  <c r="B303" i="3"/>
  <c r="A303" i="3"/>
  <c r="B302" i="3"/>
  <c r="A302" i="3"/>
  <c r="B301" i="3"/>
  <c r="A301" i="3"/>
  <c r="B300" i="3"/>
  <c r="A300" i="3"/>
  <c r="B299" i="3"/>
  <c r="A299" i="3"/>
  <c r="B298" i="3"/>
  <c r="A298" i="3"/>
  <c r="B297" i="3"/>
  <c r="A297" i="3"/>
  <c r="B241" i="3"/>
  <c r="A241" i="3"/>
  <c r="B240" i="3"/>
  <c r="A240" i="3"/>
  <c r="B239" i="3"/>
  <c r="A239" i="3"/>
  <c r="B238" i="3"/>
  <c r="A238" i="3"/>
  <c r="B237" i="3"/>
  <c r="A237" i="3"/>
  <c r="B236" i="3"/>
  <c r="A236" i="3"/>
  <c r="B235" i="3"/>
  <c r="A235" i="3"/>
  <c r="B234" i="3"/>
  <c r="A234" i="3"/>
  <c r="B233" i="3"/>
  <c r="A233" i="3"/>
  <c r="B232" i="3"/>
  <c r="A232" i="3"/>
  <c r="B231" i="3"/>
  <c r="A231" i="3"/>
  <c r="B230" i="3"/>
  <c r="A230" i="3"/>
  <c r="B229" i="3"/>
  <c r="A229" i="3"/>
  <c r="B228" i="3"/>
  <c r="A228" i="3"/>
  <c r="N173" i="3"/>
  <c r="M173" i="3"/>
  <c r="L173" i="3"/>
  <c r="K173" i="3"/>
  <c r="J173" i="3"/>
  <c r="I173" i="3"/>
  <c r="H173" i="3"/>
  <c r="G173" i="3"/>
  <c r="F173" i="3"/>
  <c r="E173" i="3"/>
  <c r="D173" i="3"/>
  <c r="C173" i="3"/>
  <c r="N172" i="3"/>
  <c r="M172" i="3"/>
  <c r="L172" i="3"/>
  <c r="K172" i="3"/>
  <c r="J172" i="3"/>
  <c r="I172" i="3"/>
  <c r="H172" i="3"/>
  <c r="G172" i="3"/>
  <c r="F172" i="3"/>
  <c r="E172" i="3"/>
  <c r="D172" i="3"/>
  <c r="C172" i="3"/>
  <c r="N171" i="3"/>
  <c r="M171" i="3"/>
  <c r="L171" i="3"/>
  <c r="K171" i="3"/>
  <c r="J171" i="3"/>
  <c r="I171" i="3"/>
  <c r="H171" i="3"/>
  <c r="G171" i="3"/>
  <c r="F171" i="3"/>
  <c r="E171" i="3"/>
  <c r="D171" i="3"/>
  <c r="C171" i="3"/>
  <c r="N170" i="3"/>
  <c r="M170" i="3"/>
  <c r="L170" i="3"/>
  <c r="K170" i="3"/>
  <c r="J170" i="3"/>
  <c r="I170" i="3"/>
  <c r="H170" i="3"/>
  <c r="G170" i="3"/>
  <c r="F170" i="3"/>
  <c r="E170" i="3"/>
  <c r="D170" i="3"/>
  <c r="C170" i="3"/>
  <c r="N169" i="3"/>
  <c r="M169" i="3"/>
  <c r="L169" i="3"/>
  <c r="K169" i="3"/>
  <c r="J169" i="3"/>
  <c r="I169" i="3"/>
  <c r="H169" i="3"/>
  <c r="G169" i="3"/>
  <c r="F169" i="3"/>
  <c r="E169" i="3"/>
  <c r="D169" i="3"/>
  <c r="C169" i="3"/>
  <c r="N168" i="3"/>
  <c r="M168" i="3"/>
  <c r="L168" i="3"/>
  <c r="K168" i="3"/>
  <c r="J168" i="3"/>
  <c r="I168" i="3"/>
  <c r="H168" i="3"/>
  <c r="G168" i="3"/>
  <c r="F168" i="3"/>
  <c r="E168" i="3"/>
  <c r="D168" i="3"/>
  <c r="C168" i="3"/>
  <c r="N167" i="3"/>
  <c r="M167" i="3"/>
  <c r="L167" i="3"/>
  <c r="K167" i="3"/>
  <c r="J167" i="3"/>
  <c r="I167" i="3"/>
  <c r="H167" i="3"/>
  <c r="G167" i="3"/>
  <c r="F167" i="3"/>
  <c r="E167" i="3"/>
  <c r="D167" i="3"/>
  <c r="C167" i="3"/>
  <c r="N166" i="3"/>
  <c r="M166" i="3"/>
  <c r="L166" i="3"/>
  <c r="K166" i="3"/>
  <c r="J166" i="3"/>
  <c r="I166" i="3"/>
  <c r="H166" i="3"/>
  <c r="G166" i="3"/>
  <c r="F166" i="3"/>
  <c r="E166" i="3"/>
  <c r="D166" i="3"/>
  <c r="C166" i="3"/>
  <c r="N165" i="3"/>
  <c r="M165" i="3"/>
  <c r="L165" i="3"/>
  <c r="K165" i="3"/>
  <c r="J165" i="3"/>
  <c r="I165" i="3"/>
  <c r="H165" i="3"/>
  <c r="G165" i="3"/>
  <c r="F165" i="3"/>
  <c r="E165" i="3"/>
  <c r="D165" i="3"/>
  <c r="C165" i="3"/>
  <c r="N164" i="3"/>
  <c r="M164" i="3"/>
  <c r="L164" i="3"/>
  <c r="K164" i="3"/>
  <c r="J164" i="3"/>
  <c r="I164" i="3"/>
  <c r="H164" i="3"/>
  <c r="G164" i="3"/>
  <c r="F164" i="3"/>
  <c r="E164" i="3"/>
  <c r="D164" i="3"/>
  <c r="C164" i="3"/>
  <c r="N163" i="3"/>
  <c r="M163" i="3"/>
  <c r="L163" i="3"/>
  <c r="K163" i="3"/>
  <c r="J163" i="3"/>
  <c r="I163" i="3"/>
  <c r="H163" i="3"/>
  <c r="G163" i="3"/>
  <c r="F163" i="3"/>
  <c r="E163" i="3"/>
  <c r="D163" i="3"/>
  <c r="C163" i="3"/>
  <c r="N162" i="3"/>
  <c r="M162" i="3"/>
  <c r="L162" i="3"/>
  <c r="K162" i="3"/>
  <c r="J162" i="3"/>
  <c r="I162" i="3"/>
  <c r="H162" i="3"/>
  <c r="G162" i="3"/>
  <c r="F162" i="3"/>
  <c r="E162" i="3"/>
  <c r="D162" i="3"/>
  <c r="C162" i="3"/>
  <c r="N161" i="3"/>
  <c r="M161" i="3"/>
  <c r="L161" i="3"/>
  <c r="K161" i="3"/>
  <c r="J161" i="3"/>
  <c r="I161" i="3"/>
  <c r="H161" i="3"/>
  <c r="G161" i="3"/>
  <c r="F161" i="3"/>
  <c r="E161" i="3"/>
  <c r="D161" i="3"/>
  <c r="C161" i="3"/>
  <c r="A174" i="3"/>
  <c r="A173" i="3"/>
  <c r="A172" i="3"/>
  <c r="A171" i="3"/>
  <c r="A170" i="3"/>
  <c r="A169" i="3"/>
  <c r="A168" i="3"/>
  <c r="A167" i="3"/>
  <c r="A166" i="3"/>
  <c r="A165" i="3"/>
  <c r="A164" i="3"/>
  <c r="A163" i="3"/>
  <c r="A162" i="3"/>
  <c r="A161" i="3"/>
  <c r="B105" i="3"/>
  <c r="A105" i="3"/>
  <c r="B104" i="3"/>
  <c r="A104" i="3"/>
  <c r="B103" i="3"/>
  <c r="A103" i="3"/>
  <c r="B102" i="3"/>
  <c r="A102" i="3"/>
  <c r="B101" i="3"/>
  <c r="A101" i="3"/>
  <c r="B100" i="3"/>
  <c r="A100" i="3"/>
  <c r="B99" i="3"/>
  <c r="A99" i="3"/>
  <c r="B98" i="3"/>
  <c r="A98" i="3"/>
  <c r="B97" i="3"/>
  <c r="A97" i="3"/>
  <c r="B96" i="3"/>
  <c r="A96" i="3"/>
  <c r="B95" i="3"/>
  <c r="A95" i="3"/>
  <c r="B94" i="3"/>
  <c r="A94" i="3"/>
  <c r="B93" i="3"/>
  <c r="A93" i="3"/>
  <c r="B92" i="3"/>
  <c r="A92" i="3"/>
  <c r="B37" i="3"/>
  <c r="B36" i="3"/>
  <c r="B35" i="3"/>
  <c r="B34" i="3"/>
  <c r="B33" i="3"/>
  <c r="B32" i="3"/>
  <c r="B31" i="3"/>
  <c r="B30" i="3"/>
  <c r="B29" i="3"/>
  <c r="B28" i="3"/>
  <c r="B27" i="3"/>
  <c r="B26" i="3"/>
  <c r="B25" i="3"/>
  <c r="AF75" i="2"/>
  <c r="AB75" i="2"/>
  <c r="AN75" i="2" s="1"/>
  <c r="AA75" i="2"/>
  <c r="AM75" i="2" s="1"/>
  <c r="Z75" i="2"/>
  <c r="AL75" i="2" s="1"/>
  <c r="Y75" i="2"/>
  <c r="AK75" i="2" s="1"/>
  <c r="X75" i="2"/>
  <c r="AJ75" i="2" s="1"/>
  <c r="W75" i="2"/>
  <c r="AI75" i="2" s="1"/>
  <c r="V75" i="2"/>
  <c r="AH75" i="2" s="1"/>
  <c r="U75" i="2"/>
  <c r="AG75" i="2" s="1"/>
  <c r="T75" i="2"/>
  <c r="S75" i="2"/>
  <c r="AE75" i="2" s="1"/>
  <c r="R75" i="2"/>
  <c r="AD75" i="2" s="1"/>
  <c r="Q75" i="2"/>
  <c r="AC75" i="2" s="1"/>
  <c r="P75" i="2"/>
  <c r="O75" i="2"/>
  <c r="N75" i="2"/>
  <c r="M75" i="2"/>
  <c r="L75" i="2"/>
  <c r="K75" i="2"/>
  <c r="J75" i="2"/>
  <c r="I75" i="2"/>
  <c r="H75" i="2"/>
  <c r="G75" i="2"/>
  <c r="F75" i="2"/>
  <c r="E75" i="2"/>
  <c r="D75" i="2"/>
  <c r="AG74" i="2"/>
  <c r="AB74" i="2"/>
  <c r="AN74" i="2" s="1"/>
  <c r="AA74" i="2"/>
  <c r="AM74" i="2" s="1"/>
  <c r="Z74" i="2"/>
  <c r="AL74" i="2" s="1"/>
  <c r="Y74" i="2"/>
  <c r="AK74" i="2" s="1"/>
  <c r="X74" i="2"/>
  <c r="AJ74" i="2" s="1"/>
  <c r="W74" i="2"/>
  <c r="AI74" i="2" s="1"/>
  <c r="V74" i="2"/>
  <c r="AH74" i="2" s="1"/>
  <c r="U74" i="2"/>
  <c r="T74" i="2"/>
  <c r="AF74" i="2" s="1"/>
  <c r="S74" i="2"/>
  <c r="AE74" i="2" s="1"/>
  <c r="R74" i="2"/>
  <c r="AD74" i="2" s="1"/>
  <c r="Q74" i="2"/>
  <c r="AC74" i="2" s="1"/>
  <c r="P74" i="2"/>
  <c r="O74" i="2"/>
  <c r="N74" i="2"/>
  <c r="M74" i="2"/>
  <c r="L74" i="2"/>
  <c r="K74" i="2"/>
  <c r="J74" i="2"/>
  <c r="I74" i="2"/>
  <c r="H74" i="2"/>
  <c r="G74" i="2"/>
  <c r="F74" i="2"/>
  <c r="E74" i="2"/>
  <c r="D74" i="2"/>
  <c r="AH73" i="2"/>
  <c r="AB73" i="2"/>
  <c r="AN73" i="2" s="1"/>
  <c r="AA73" i="2"/>
  <c r="AM73" i="2" s="1"/>
  <c r="Z73" i="2"/>
  <c r="AL73" i="2" s="1"/>
  <c r="Y73" i="2"/>
  <c r="AK73" i="2" s="1"/>
  <c r="X73" i="2"/>
  <c r="AJ73" i="2" s="1"/>
  <c r="W73" i="2"/>
  <c r="AI73" i="2" s="1"/>
  <c r="V73" i="2"/>
  <c r="U73" i="2"/>
  <c r="AG73" i="2" s="1"/>
  <c r="T73" i="2"/>
  <c r="AF73" i="2" s="1"/>
  <c r="S73" i="2"/>
  <c r="AE73" i="2" s="1"/>
  <c r="R73" i="2"/>
  <c r="AD73" i="2" s="1"/>
  <c r="Q73" i="2"/>
  <c r="AC73" i="2" s="1"/>
  <c r="P73" i="2"/>
  <c r="O73" i="2"/>
  <c r="N73" i="2"/>
  <c r="M73" i="2"/>
  <c r="L73" i="2"/>
  <c r="K73" i="2"/>
  <c r="J73" i="2"/>
  <c r="I73" i="2"/>
  <c r="H73" i="2"/>
  <c r="G73" i="2"/>
  <c r="F73" i="2"/>
  <c r="E73" i="2"/>
  <c r="D73" i="2"/>
  <c r="AB72" i="2"/>
  <c r="AN72" i="2" s="1"/>
  <c r="AA72" i="2"/>
  <c r="AM72" i="2" s="1"/>
  <c r="Z72" i="2"/>
  <c r="AL72" i="2" s="1"/>
  <c r="Y72" i="2"/>
  <c r="AK72" i="2" s="1"/>
  <c r="X72" i="2"/>
  <c r="AJ72" i="2" s="1"/>
  <c r="W72" i="2"/>
  <c r="AI72" i="2" s="1"/>
  <c r="V72" i="2"/>
  <c r="AH72" i="2" s="1"/>
  <c r="U72" i="2"/>
  <c r="AG72" i="2" s="1"/>
  <c r="T72" i="2"/>
  <c r="AF72" i="2" s="1"/>
  <c r="S72" i="2"/>
  <c r="AE72" i="2" s="1"/>
  <c r="R72" i="2"/>
  <c r="AD72" i="2" s="1"/>
  <c r="Q72" i="2"/>
  <c r="AC72" i="2" s="1"/>
  <c r="P72" i="2"/>
  <c r="O72" i="2"/>
  <c r="N72" i="2"/>
  <c r="M72" i="2"/>
  <c r="L72" i="2"/>
  <c r="K72" i="2"/>
  <c r="J72" i="2"/>
  <c r="I72" i="2"/>
  <c r="H72" i="2"/>
  <c r="G72" i="2"/>
  <c r="F72" i="2"/>
  <c r="E72" i="2"/>
  <c r="D72" i="2"/>
  <c r="AF71" i="2"/>
  <c r="AB71" i="2"/>
  <c r="AN71" i="2" s="1"/>
  <c r="AA71" i="2"/>
  <c r="AM71" i="2" s="1"/>
  <c r="Z71" i="2"/>
  <c r="AL71" i="2" s="1"/>
  <c r="Y71" i="2"/>
  <c r="AK71" i="2" s="1"/>
  <c r="X71" i="2"/>
  <c r="AJ71" i="2" s="1"/>
  <c r="W71" i="2"/>
  <c r="AI71" i="2" s="1"/>
  <c r="V71" i="2"/>
  <c r="AH71" i="2" s="1"/>
  <c r="U71" i="2"/>
  <c r="AG71" i="2" s="1"/>
  <c r="T71" i="2"/>
  <c r="S71" i="2"/>
  <c r="AE71" i="2" s="1"/>
  <c r="R71" i="2"/>
  <c r="AD71" i="2" s="1"/>
  <c r="Q71" i="2"/>
  <c r="AC71" i="2" s="1"/>
  <c r="P71" i="2"/>
  <c r="O71" i="2"/>
  <c r="N71" i="2"/>
  <c r="M71" i="2"/>
  <c r="L71" i="2"/>
  <c r="K71" i="2"/>
  <c r="J71" i="2"/>
  <c r="I71" i="2"/>
  <c r="H71" i="2"/>
  <c r="G71" i="2"/>
  <c r="F71" i="2"/>
  <c r="E71" i="2"/>
  <c r="D71" i="2"/>
  <c r="AN70" i="2"/>
  <c r="AJ70" i="2"/>
  <c r="AB70" i="2"/>
  <c r="AA70" i="2"/>
  <c r="AM70" i="2" s="1"/>
  <c r="Z70" i="2"/>
  <c r="AL70" i="2" s="1"/>
  <c r="Y70" i="2"/>
  <c r="AK70" i="2" s="1"/>
  <c r="X70" i="2"/>
  <c r="W70" i="2"/>
  <c r="AI70" i="2" s="1"/>
  <c r="V70" i="2"/>
  <c r="AH70" i="2" s="1"/>
  <c r="U70" i="2"/>
  <c r="AG70" i="2" s="1"/>
  <c r="T70" i="2"/>
  <c r="AF70" i="2" s="1"/>
  <c r="S70" i="2"/>
  <c r="AE70" i="2" s="1"/>
  <c r="R70" i="2"/>
  <c r="AD70" i="2" s="1"/>
  <c r="Q70" i="2"/>
  <c r="AC70" i="2" s="1"/>
  <c r="P70" i="2"/>
  <c r="O70" i="2"/>
  <c r="N70" i="2"/>
  <c r="M70" i="2"/>
  <c r="L70" i="2"/>
  <c r="K70" i="2"/>
  <c r="J70" i="2"/>
  <c r="I70" i="2"/>
  <c r="H70" i="2"/>
  <c r="G70" i="2"/>
  <c r="F70" i="2"/>
  <c r="E70" i="2"/>
  <c r="D70" i="2"/>
  <c r="AB69" i="2"/>
  <c r="AN69" i="2" s="1"/>
  <c r="AA69" i="2"/>
  <c r="AM69" i="2" s="1"/>
  <c r="Z69" i="2"/>
  <c r="AL69" i="2" s="1"/>
  <c r="Y69" i="2"/>
  <c r="AK69" i="2" s="1"/>
  <c r="X69" i="2"/>
  <c r="AJ69" i="2" s="1"/>
  <c r="W69" i="2"/>
  <c r="AI69" i="2" s="1"/>
  <c r="V69" i="2"/>
  <c r="AH69" i="2" s="1"/>
  <c r="U69" i="2"/>
  <c r="AG69" i="2" s="1"/>
  <c r="T69" i="2"/>
  <c r="AF69" i="2" s="1"/>
  <c r="S69" i="2"/>
  <c r="AE69" i="2" s="1"/>
  <c r="R69" i="2"/>
  <c r="AD69" i="2" s="1"/>
  <c r="Q69" i="2"/>
  <c r="AC69" i="2" s="1"/>
  <c r="P69" i="2"/>
  <c r="O69" i="2"/>
  <c r="N69" i="2"/>
  <c r="M69" i="2"/>
  <c r="L69" i="2"/>
  <c r="K69" i="2"/>
  <c r="J69" i="2"/>
  <c r="I69" i="2"/>
  <c r="H69" i="2"/>
  <c r="G69" i="2"/>
  <c r="F69" i="2"/>
  <c r="E69" i="2"/>
  <c r="D69" i="2"/>
  <c r="AB68" i="2"/>
  <c r="AN68" i="2" s="1"/>
  <c r="AA68" i="2"/>
  <c r="AM68" i="2" s="1"/>
  <c r="Z68" i="2"/>
  <c r="AL68" i="2" s="1"/>
  <c r="Y68" i="2"/>
  <c r="AK68" i="2" s="1"/>
  <c r="X68" i="2"/>
  <c r="AJ68" i="2" s="1"/>
  <c r="W68" i="2"/>
  <c r="AI68" i="2" s="1"/>
  <c r="V68" i="2"/>
  <c r="AH68" i="2" s="1"/>
  <c r="U68" i="2"/>
  <c r="AG68" i="2" s="1"/>
  <c r="T68" i="2"/>
  <c r="AF68" i="2" s="1"/>
  <c r="S68" i="2"/>
  <c r="AE68" i="2" s="1"/>
  <c r="R68" i="2"/>
  <c r="AD68" i="2" s="1"/>
  <c r="Q68" i="2"/>
  <c r="AC68" i="2" s="1"/>
  <c r="P68" i="2"/>
  <c r="O68" i="2"/>
  <c r="N68" i="2"/>
  <c r="M68" i="2"/>
  <c r="L68" i="2"/>
  <c r="K68" i="2"/>
  <c r="J68" i="2"/>
  <c r="I68" i="2"/>
  <c r="H68" i="2"/>
  <c r="G68" i="2"/>
  <c r="F68" i="2"/>
  <c r="E68" i="2"/>
  <c r="D68" i="2"/>
  <c r="AH67" i="2"/>
  <c r="AB67" i="2"/>
  <c r="AN67" i="2" s="1"/>
  <c r="AA67" i="2"/>
  <c r="AM67" i="2" s="1"/>
  <c r="Z67" i="2"/>
  <c r="AL67" i="2" s="1"/>
  <c r="Y67" i="2"/>
  <c r="AK67" i="2" s="1"/>
  <c r="X67" i="2"/>
  <c r="AJ67" i="2" s="1"/>
  <c r="W67" i="2"/>
  <c r="AI67" i="2" s="1"/>
  <c r="V67" i="2"/>
  <c r="U67" i="2"/>
  <c r="AG67" i="2" s="1"/>
  <c r="T67" i="2"/>
  <c r="AF67" i="2" s="1"/>
  <c r="S67" i="2"/>
  <c r="AE67" i="2" s="1"/>
  <c r="R67" i="2"/>
  <c r="AD67" i="2" s="1"/>
  <c r="Q67" i="2"/>
  <c r="AC67" i="2" s="1"/>
  <c r="P67" i="2"/>
  <c r="O67" i="2"/>
  <c r="N67" i="2"/>
  <c r="M67" i="2"/>
  <c r="L67" i="2"/>
  <c r="K67" i="2"/>
  <c r="J67" i="2"/>
  <c r="I67" i="2"/>
  <c r="H67" i="2"/>
  <c r="G67" i="2"/>
  <c r="F67" i="2"/>
  <c r="E67" i="2"/>
  <c r="D67" i="2"/>
  <c r="AN66" i="2"/>
  <c r="AF66" i="2"/>
  <c r="AB66" i="2"/>
  <c r="AA66" i="2"/>
  <c r="AM66" i="2" s="1"/>
  <c r="Z66" i="2"/>
  <c r="AL66" i="2" s="1"/>
  <c r="Y66" i="2"/>
  <c r="AK66" i="2" s="1"/>
  <c r="X66" i="2"/>
  <c r="AJ66" i="2" s="1"/>
  <c r="W66" i="2"/>
  <c r="AI66" i="2" s="1"/>
  <c r="V66" i="2"/>
  <c r="AH66" i="2" s="1"/>
  <c r="U66" i="2"/>
  <c r="AG66" i="2" s="1"/>
  <c r="T66" i="2"/>
  <c r="S66" i="2"/>
  <c r="AE66" i="2" s="1"/>
  <c r="R66" i="2"/>
  <c r="AD66" i="2" s="1"/>
  <c r="Q66" i="2"/>
  <c r="AC66" i="2" s="1"/>
  <c r="P66" i="2"/>
  <c r="O66" i="2"/>
  <c r="N66" i="2"/>
  <c r="M66" i="2"/>
  <c r="L66" i="2"/>
  <c r="K66" i="2"/>
  <c r="J66" i="2"/>
  <c r="I66" i="2"/>
  <c r="H66" i="2"/>
  <c r="G66" i="2"/>
  <c r="F66" i="2"/>
  <c r="E66" i="2"/>
  <c r="D66" i="2"/>
  <c r="AB65" i="2"/>
  <c r="AN65" i="2" s="1"/>
  <c r="AA65" i="2"/>
  <c r="AM65" i="2" s="1"/>
  <c r="Z65" i="2"/>
  <c r="AL65" i="2" s="1"/>
  <c r="Y65" i="2"/>
  <c r="AK65" i="2" s="1"/>
  <c r="X65" i="2"/>
  <c r="AJ65" i="2" s="1"/>
  <c r="W65" i="2"/>
  <c r="AI65" i="2" s="1"/>
  <c r="V65" i="2"/>
  <c r="AH65" i="2" s="1"/>
  <c r="U65" i="2"/>
  <c r="AG65" i="2" s="1"/>
  <c r="T65" i="2"/>
  <c r="AF65" i="2" s="1"/>
  <c r="S65" i="2"/>
  <c r="AE65" i="2" s="1"/>
  <c r="R65" i="2"/>
  <c r="AD65" i="2" s="1"/>
  <c r="Q65" i="2"/>
  <c r="AC65" i="2" s="1"/>
  <c r="P65" i="2"/>
  <c r="O65" i="2"/>
  <c r="N65" i="2"/>
  <c r="M65" i="2"/>
  <c r="L65" i="2"/>
  <c r="K65" i="2"/>
  <c r="J65" i="2"/>
  <c r="I65" i="2"/>
  <c r="H65" i="2"/>
  <c r="G65" i="2"/>
  <c r="F65" i="2"/>
  <c r="E65" i="2"/>
  <c r="D65" i="2"/>
  <c r="AB64" i="2"/>
  <c r="AN64" i="2" s="1"/>
  <c r="AA64" i="2"/>
  <c r="AM64" i="2" s="1"/>
  <c r="Z64" i="2"/>
  <c r="AL64" i="2" s="1"/>
  <c r="Y64" i="2"/>
  <c r="AK64" i="2" s="1"/>
  <c r="X64" i="2"/>
  <c r="AJ64" i="2" s="1"/>
  <c r="W64" i="2"/>
  <c r="AI64" i="2" s="1"/>
  <c r="V64" i="2"/>
  <c r="AH64" i="2" s="1"/>
  <c r="U64" i="2"/>
  <c r="AG64" i="2" s="1"/>
  <c r="T64" i="2"/>
  <c r="AF64" i="2" s="1"/>
  <c r="S64" i="2"/>
  <c r="AE64" i="2" s="1"/>
  <c r="R64" i="2"/>
  <c r="AD64" i="2" s="1"/>
  <c r="Q64" i="2"/>
  <c r="AC64" i="2" s="1"/>
  <c r="P64" i="2"/>
  <c r="O64" i="2"/>
  <c r="N64" i="2"/>
  <c r="M64" i="2"/>
  <c r="L64" i="2"/>
  <c r="K64" i="2"/>
  <c r="J64" i="2"/>
  <c r="I64" i="2"/>
  <c r="H64" i="2"/>
  <c r="G64" i="2"/>
  <c r="F64" i="2"/>
  <c r="E64" i="2"/>
  <c r="D64" i="2"/>
  <c r="AL63" i="2"/>
  <c r="AB63" i="2"/>
  <c r="AN63" i="2" s="1"/>
  <c r="AA63" i="2"/>
  <c r="AM63" i="2" s="1"/>
  <c r="Z63" i="2"/>
  <c r="Y63" i="2"/>
  <c r="AK63" i="2" s="1"/>
  <c r="X63" i="2"/>
  <c r="AJ63" i="2" s="1"/>
  <c r="W63" i="2"/>
  <c r="AI63" i="2" s="1"/>
  <c r="V63" i="2"/>
  <c r="AH63" i="2" s="1"/>
  <c r="U63" i="2"/>
  <c r="AG63" i="2" s="1"/>
  <c r="T63" i="2"/>
  <c r="AF63" i="2" s="1"/>
  <c r="S63" i="2"/>
  <c r="AE63" i="2" s="1"/>
  <c r="R63" i="2"/>
  <c r="AD63" i="2" s="1"/>
  <c r="Q63" i="2"/>
  <c r="AC63" i="2" s="1"/>
  <c r="P63" i="2"/>
  <c r="O63" i="2"/>
  <c r="N63" i="2"/>
  <c r="M63" i="2"/>
  <c r="L63" i="2"/>
  <c r="K63" i="2"/>
  <c r="J63" i="2"/>
  <c r="I63" i="2"/>
  <c r="H63" i="2"/>
  <c r="G63" i="2"/>
  <c r="F63" i="2"/>
  <c r="E63" i="2"/>
  <c r="D63" i="2"/>
  <c r="F400" i="3" l="1"/>
  <c r="H405" i="3"/>
  <c r="H397" i="3"/>
  <c r="F404" i="3"/>
  <c r="H409" i="3"/>
  <c r="F399" i="3"/>
  <c r="B331" i="3"/>
  <c r="B337" i="3"/>
  <c r="B332" i="3"/>
  <c r="B338" i="3"/>
  <c r="Q105" i="2"/>
  <c r="AC105" i="2" s="1"/>
  <c r="Q100" i="2"/>
  <c r="AC100" i="2" s="1"/>
  <c r="Q106" i="2"/>
  <c r="AC106" i="2" s="1"/>
  <c r="Q95" i="2"/>
  <c r="AC95" i="2" s="1"/>
  <c r="B261" i="3"/>
  <c r="H98" i="2"/>
  <c r="B271" i="3"/>
  <c r="I99" i="2"/>
  <c r="J100" i="2"/>
  <c r="F376" i="3"/>
  <c r="F369" i="3"/>
  <c r="F370" i="3"/>
  <c r="F372" i="3"/>
  <c r="F375" i="3"/>
  <c r="F373" i="3"/>
  <c r="F368" i="3"/>
  <c r="H373" i="3"/>
  <c r="F365" i="3"/>
  <c r="F377" i="3"/>
  <c r="F367" i="3"/>
  <c r="H372" i="3"/>
  <c r="F374" i="3"/>
  <c r="F371" i="3"/>
  <c r="F366" i="3"/>
  <c r="H349" i="3"/>
  <c r="E292" i="3" l="1"/>
  <c r="D292" i="3"/>
  <c r="F20" i="3" l="1"/>
  <c r="I20" i="3"/>
  <c r="J20" i="3"/>
  <c r="K20" i="3"/>
  <c r="L20" i="3"/>
  <c r="M20" i="3"/>
  <c r="N20" i="3"/>
  <c r="M87" i="3"/>
  <c r="L87" i="3"/>
  <c r="K87" i="3"/>
  <c r="J87" i="3"/>
  <c r="I87" i="3"/>
  <c r="H87" i="3"/>
  <c r="F87" i="3"/>
  <c r="E87" i="3"/>
  <c r="D87" i="3"/>
  <c r="C87" i="3"/>
  <c r="D20" i="3"/>
  <c r="C20" i="3"/>
  <c r="N84" i="3" l="1"/>
  <c r="A328" i="3" l="1"/>
  <c r="A327" i="3"/>
  <c r="A326" i="3"/>
  <c r="A325" i="3"/>
  <c r="A324" i="3"/>
  <c r="A323" i="3"/>
  <c r="A322" i="3"/>
  <c r="A321" i="3"/>
  <c r="A320" i="3"/>
  <c r="A319" i="3"/>
  <c r="A318" i="3"/>
  <c r="A317" i="3"/>
  <c r="A316" i="3"/>
  <c r="A315" i="3"/>
  <c r="A314" i="3"/>
  <c r="A313" i="3"/>
  <c r="A296" i="3"/>
  <c r="A295" i="3"/>
  <c r="A294" i="3"/>
  <c r="A293" i="3"/>
  <c r="A292" i="3"/>
  <c r="A291" i="3"/>
  <c r="A290" i="3"/>
  <c r="A289" i="3"/>
  <c r="A288" i="3"/>
  <c r="A287" i="3"/>
  <c r="A286" i="3"/>
  <c r="A285" i="3"/>
  <c r="A284" i="3"/>
  <c r="A283" i="3"/>
  <c r="A282" i="3"/>
  <c r="A281" i="3"/>
  <c r="S90" i="2" l="1"/>
  <c r="R90" i="2"/>
  <c r="Q90" i="2"/>
  <c r="A1" i="2" l="1"/>
  <c r="H177" i="3"/>
  <c r="H313" i="3" s="1"/>
  <c r="V78" i="2" s="1"/>
  <c r="O142" i="3"/>
  <c r="N143" i="3"/>
  <c r="N178" i="3" s="1"/>
  <c r="N314" i="3" s="1"/>
  <c r="AB79" i="2" s="1"/>
  <c r="M143" i="3"/>
  <c r="M178" i="3" s="1"/>
  <c r="M314" i="3" s="1"/>
  <c r="AA79" i="2" s="1"/>
  <c r="L143" i="3"/>
  <c r="L178" i="3" s="1"/>
  <c r="L314" i="3" s="1"/>
  <c r="Z79" i="2" s="1"/>
  <c r="K143" i="3"/>
  <c r="K178" i="3" s="1"/>
  <c r="K314" i="3" s="1"/>
  <c r="Y79" i="2" s="1"/>
  <c r="J143" i="3"/>
  <c r="J178" i="3" s="1"/>
  <c r="J314" i="3" s="1"/>
  <c r="X79" i="2" s="1"/>
  <c r="I143" i="3"/>
  <c r="I178" i="3" s="1"/>
  <c r="I314" i="3" s="1"/>
  <c r="W79" i="2" s="1"/>
  <c r="H143" i="3"/>
  <c r="H178" i="3" s="1"/>
  <c r="H314" i="3" s="1"/>
  <c r="V79" i="2" s="1"/>
  <c r="G143" i="3"/>
  <c r="G178" i="3" s="1"/>
  <c r="G314" i="3" s="1"/>
  <c r="U79" i="2" s="1"/>
  <c r="F143" i="3"/>
  <c r="F178" i="3" s="1"/>
  <c r="F314" i="3" s="1"/>
  <c r="T79" i="2" s="1"/>
  <c r="E143" i="3"/>
  <c r="E178" i="3" s="1"/>
  <c r="E314" i="3" s="1"/>
  <c r="S79" i="2" s="1"/>
  <c r="D143" i="3"/>
  <c r="D178" i="3" s="1"/>
  <c r="D314" i="3" s="1"/>
  <c r="R79" i="2" s="1"/>
  <c r="C143" i="3"/>
  <c r="C178" i="3" s="1"/>
  <c r="C314" i="3" s="1"/>
  <c r="G93" i="2"/>
  <c r="F93" i="2"/>
  <c r="E93" i="2"/>
  <c r="D93" i="2"/>
  <c r="K92" i="2"/>
  <c r="G92" i="2"/>
  <c r="F92" i="2"/>
  <c r="E92" i="2"/>
  <c r="D92" i="2"/>
  <c r="I91" i="2"/>
  <c r="G91" i="2"/>
  <c r="F91" i="2"/>
  <c r="E91" i="2"/>
  <c r="D91" i="2"/>
  <c r="G90" i="2"/>
  <c r="AE90" i="2" s="1"/>
  <c r="F90" i="2"/>
  <c r="AD90" i="2" s="1"/>
  <c r="E90" i="2"/>
  <c r="AC90" i="2" s="1"/>
  <c r="D90" i="2"/>
  <c r="G89" i="2"/>
  <c r="F89" i="2"/>
  <c r="E89" i="2"/>
  <c r="D89" i="2"/>
  <c r="P88" i="2"/>
  <c r="O88" i="2"/>
  <c r="N88" i="2"/>
  <c r="M88" i="2"/>
  <c r="L88" i="2"/>
  <c r="K88" i="2"/>
  <c r="J88" i="2"/>
  <c r="I88" i="2"/>
  <c r="H88" i="2"/>
  <c r="G88" i="2"/>
  <c r="F88" i="2"/>
  <c r="E88" i="2"/>
  <c r="D88" i="2"/>
  <c r="G87" i="2"/>
  <c r="F87" i="2"/>
  <c r="E87" i="2"/>
  <c r="D87" i="2"/>
  <c r="G76" i="2"/>
  <c r="F76" i="2"/>
  <c r="E76" i="2"/>
  <c r="D76" i="2"/>
  <c r="I62" i="2"/>
  <c r="H62" i="2"/>
  <c r="G62" i="2"/>
  <c r="F62" i="2"/>
  <c r="E62" i="2"/>
  <c r="D62" i="2"/>
  <c r="I61" i="2"/>
  <c r="G61" i="2"/>
  <c r="F61" i="2"/>
  <c r="E61" i="2"/>
  <c r="D61" i="2"/>
  <c r="G60" i="2"/>
  <c r="F60" i="2"/>
  <c r="E60" i="2"/>
  <c r="D60" i="2"/>
  <c r="H59" i="2"/>
  <c r="G59" i="2"/>
  <c r="F59" i="2"/>
  <c r="E59" i="2"/>
  <c r="D59" i="2"/>
  <c r="P58" i="2"/>
  <c r="O58" i="2"/>
  <c r="N58" i="2"/>
  <c r="M58" i="2"/>
  <c r="L58" i="2"/>
  <c r="K58" i="2"/>
  <c r="J58" i="2"/>
  <c r="I58" i="2"/>
  <c r="H58" i="2"/>
  <c r="G58" i="2"/>
  <c r="F58" i="2"/>
  <c r="E58" i="2"/>
  <c r="D58" i="2"/>
  <c r="P57" i="2"/>
  <c r="O57" i="2"/>
  <c r="N57" i="2"/>
  <c r="M57" i="2"/>
  <c r="L57" i="2"/>
  <c r="K57" i="2"/>
  <c r="J57" i="2"/>
  <c r="I57" i="2"/>
  <c r="H57" i="2"/>
  <c r="G57" i="2"/>
  <c r="F57" i="2"/>
  <c r="E57" i="2"/>
  <c r="D57" i="2"/>
  <c r="P56" i="2"/>
  <c r="O56" i="2"/>
  <c r="N56" i="2"/>
  <c r="M56" i="2"/>
  <c r="L56" i="2"/>
  <c r="K56" i="2"/>
  <c r="J56" i="2"/>
  <c r="I56" i="2"/>
  <c r="H56" i="2"/>
  <c r="G56" i="2"/>
  <c r="F56" i="2"/>
  <c r="E56" i="2"/>
  <c r="D56" i="2"/>
  <c r="A396" i="3"/>
  <c r="A395" i="3"/>
  <c r="A394" i="3"/>
  <c r="A393" i="3"/>
  <c r="A392" i="3"/>
  <c r="A364" i="3"/>
  <c r="A363" i="3"/>
  <c r="P62" i="2"/>
  <c r="O62" i="2"/>
  <c r="N62" i="2"/>
  <c r="M62" i="2"/>
  <c r="L62" i="2"/>
  <c r="K62" i="2"/>
  <c r="J62" i="2"/>
  <c r="N226" i="3"/>
  <c r="P61" i="2" s="1"/>
  <c r="M226" i="3"/>
  <c r="O61" i="2" s="1"/>
  <c r="L226" i="3"/>
  <c r="N61" i="2" s="1"/>
  <c r="K226" i="3"/>
  <c r="M61" i="2" s="1"/>
  <c r="J226" i="3"/>
  <c r="L61" i="2" s="1"/>
  <c r="I226" i="3"/>
  <c r="K61" i="2" s="1"/>
  <c r="H226" i="3"/>
  <c r="J61" i="2" s="1"/>
  <c r="G226" i="3"/>
  <c r="F226" i="3"/>
  <c r="A227" i="3"/>
  <c r="A226" i="3"/>
  <c r="P93" i="2"/>
  <c r="O93" i="2"/>
  <c r="N93" i="2"/>
  <c r="M93" i="2"/>
  <c r="L93" i="2"/>
  <c r="K93" i="2"/>
  <c r="J93" i="2"/>
  <c r="I93" i="2"/>
  <c r="H93" i="2"/>
  <c r="P92" i="2"/>
  <c r="O92" i="2"/>
  <c r="N92" i="2"/>
  <c r="M92" i="2"/>
  <c r="L92" i="2"/>
  <c r="I92" i="2"/>
  <c r="H92" i="2"/>
  <c r="P91" i="2"/>
  <c r="O91" i="2"/>
  <c r="N91" i="2"/>
  <c r="M91" i="2"/>
  <c r="K91" i="2"/>
  <c r="J91" i="2"/>
  <c r="H91" i="2"/>
  <c r="P90" i="2"/>
  <c r="O90" i="2"/>
  <c r="N90" i="2"/>
  <c r="M90" i="2"/>
  <c r="L90" i="2"/>
  <c r="K90" i="2"/>
  <c r="I90" i="2"/>
  <c r="H90" i="2"/>
  <c r="N255" i="3"/>
  <c r="P89" i="2" s="1"/>
  <c r="M255" i="3"/>
  <c r="O89" i="2" s="1"/>
  <c r="L255" i="3"/>
  <c r="N89" i="2" s="1"/>
  <c r="K255" i="3"/>
  <c r="M89" i="2" s="1"/>
  <c r="J255" i="3"/>
  <c r="L89" i="2" s="1"/>
  <c r="I255" i="3"/>
  <c r="K89" i="2" s="1"/>
  <c r="H255" i="3"/>
  <c r="J89" i="2" s="1"/>
  <c r="G255" i="3"/>
  <c r="I89" i="2" s="1"/>
  <c r="F255" i="3"/>
  <c r="H89" i="2" s="1"/>
  <c r="A259" i="3"/>
  <c r="A258" i="3"/>
  <c r="A257" i="3"/>
  <c r="A256" i="3"/>
  <c r="A255" i="3"/>
  <c r="Q79" i="2" l="1"/>
  <c r="B314" i="3"/>
  <c r="E382" i="3" s="1"/>
  <c r="H382" i="3" s="1"/>
  <c r="C177" i="3"/>
  <c r="C313" i="3" s="1"/>
  <c r="B226" i="3"/>
  <c r="D363" i="3" s="1"/>
  <c r="N177" i="3"/>
  <c r="N313" i="3" s="1"/>
  <c r="AB78" i="2" s="1"/>
  <c r="B257" i="3"/>
  <c r="D394" i="3" s="1"/>
  <c r="B227" i="3"/>
  <c r="D364" i="3" s="1"/>
  <c r="L91" i="2"/>
  <c r="E177" i="3"/>
  <c r="E313" i="3" s="1"/>
  <c r="H61" i="2"/>
  <c r="F177" i="3"/>
  <c r="F313" i="3" s="1"/>
  <c r="T78" i="2" s="1"/>
  <c r="G177" i="3"/>
  <c r="G313" i="3" s="1"/>
  <c r="U78" i="2" s="1"/>
  <c r="I177" i="3"/>
  <c r="I313" i="3" s="1"/>
  <c r="W78" i="2" s="1"/>
  <c r="J177" i="3"/>
  <c r="J313" i="3" s="1"/>
  <c r="X78" i="2" s="1"/>
  <c r="K177" i="3"/>
  <c r="K313" i="3" s="1"/>
  <c r="Y78" i="2" s="1"/>
  <c r="B256" i="3"/>
  <c r="D393" i="3" s="1"/>
  <c r="B258" i="3"/>
  <c r="D395" i="3" s="1"/>
  <c r="L177" i="3"/>
  <c r="L313" i="3" s="1"/>
  <c r="Z78" i="2" s="1"/>
  <c r="M177" i="3"/>
  <c r="M313" i="3" s="1"/>
  <c r="AA78" i="2" s="1"/>
  <c r="J90" i="2"/>
  <c r="O143" i="3"/>
  <c r="B255" i="3"/>
  <c r="D392" i="3" s="1"/>
  <c r="B259" i="3"/>
  <c r="D396" i="3" s="1"/>
  <c r="J92" i="2"/>
  <c r="D177" i="3"/>
  <c r="D313" i="3" s="1"/>
  <c r="A192" i="3"/>
  <c r="A191" i="3"/>
  <c r="A190" i="3"/>
  <c r="A189" i="3"/>
  <c r="A188" i="3"/>
  <c r="A187" i="3"/>
  <c r="A186" i="3"/>
  <c r="A185" i="3"/>
  <c r="A184" i="3"/>
  <c r="A183" i="3"/>
  <c r="A182" i="3"/>
  <c r="A181" i="3"/>
  <c r="A180" i="3"/>
  <c r="A179" i="3"/>
  <c r="A178" i="3"/>
  <c r="A160" i="3"/>
  <c r="A159" i="3"/>
  <c r="A158" i="3"/>
  <c r="A157" i="3"/>
  <c r="A156" i="3"/>
  <c r="A155" i="3"/>
  <c r="A154" i="3"/>
  <c r="A153" i="3"/>
  <c r="A152" i="3"/>
  <c r="A151" i="3"/>
  <c r="A150" i="3"/>
  <c r="A149" i="3"/>
  <c r="A148" i="3"/>
  <c r="A147" i="3"/>
  <c r="A146" i="3"/>
  <c r="B396" i="3"/>
  <c r="B395" i="3"/>
  <c r="B121" i="3"/>
  <c r="B394" i="3" s="1"/>
  <c r="B120" i="3"/>
  <c r="B393" i="3" s="1"/>
  <c r="B119" i="3"/>
  <c r="B392" i="3" s="1"/>
  <c r="A121" i="3"/>
  <c r="A120" i="3"/>
  <c r="A119" i="3"/>
  <c r="B91" i="3"/>
  <c r="B364" i="3" s="1"/>
  <c r="A91" i="3"/>
  <c r="B90" i="3"/>
  <c r="A90" i="3"/>
  <c r="B89" i="3"/>
  <c r="A89" i="3"/>
  <c r="B88" i="3"/>
  <c r="A88" i="3"/>
  <c r="B56" i="3"/>
  <c r="C396" i="3" s="1"/>
  <c r="B55" i="3"/>
  <c r="C395" i="3" s="1"/>
  <c r="B54" i="3"/>
  <c r="C394" i="3" s="1"/>
  <c r="B53" i="3"/>
  <c r="C393" i="3" s="1"/>
  <c r="B52" i="3"/>
  <c r="C392" i="3" s="1"/>
  <c r="B24" i="3"/>
  <c r="C364" i="3" s="1"/>
  <c r="B23" i="3"/>
  <c r="C363" i="3" s="1"/>
  <c r="S78" i="2" l="1"/>
  <c r="Q78" i="2"/>
  <c r="B313" i="3"/>
  <c r="E381" i="3" s="1"/>
  <c r="H381" i="3" s="1"/>
  <c r="R78" i="2"/>
  <c r="I189" i="3"/>
  <c r="I325" i="3" s="1"/>
  <c r="I190" i="3"/>
  <c r="W91" i="2" s="1"/>
  <c r="AI91" i="2" s="1"/>
  <c r="J190" i="3"/>
  <c r="X91" i="2" s="1"/>
  <c r="AJ91" i="2" s="1"/>
  <c r="E160" i="3"/>
  <c r="E296" i="3" s="1"/>
  <c r="S62" i="2" s="1"/>
  <c r="AE62" i="2" s="1"/>
  <c r="I191" i="3"/>
  <c r="W92" i="2" s="1"/>
  <c r="AI92" i="2" s="1"/>
  <c r="J191" i="3"/>
  <c r="X92" i="2" s="1"/>
  <c r="AJ92" i="2" s="1"/>
  <c r="I192" i="3"/>
  <c r="W93" i="2" s="1"/>
  <c r="AI93" i="2" s="1"/>
  <c r="J192" i="3"/>
  <c r="X93" i="2" s="1"/>
  <c r="AJ93" i="2" s="1"/>
  <c r="K190" i="3"/>
  <c r="Y91" i="2" s="1"/>
  <c r="AK91" i="2" s="1"/>
  <c r="K192" i="3"/>
  <c r="Y93" i="2" s="1"/>
  <c r="AK93" i="2" s="1"/>
  <c r="H160" i="3"/>
  <c r="H296" i="3" s="1"/>
  <c r="V62" i="2" s="1"/>
  <c r="AH62" i="2" s="1"/>
  <c r="L188" i="3"/>
  <c r="L324" i="3" s="1"/>
  <c r="Z89" i="2" s="1"/>
  <c r="AL89" i="2" s="1"/>
  <c r="L189" i="3"/>
  <c r="L325" i="3" s="1"/>
  <c r="L190" i="3"/>
  <c r="Z91" i="2" s="1"/>
  <c r="AL91" i="2" s="1"/>
  <c r="L191" i="3"/>
  <c r="Z92" i="2" s="1"/>
  <c r="AL92" i="2" s="1"/>
  <c r="L192" i="3"/>
  <c r="Z93" i="2" s="1"/>
  <c r="AL93" i="2" s="1"/>
  <c r="K188" i="3"/>
  <c r="K324" i="3" s="1"/>
  <c r="Y89" i="2" s="1"/>
  <c r="AK89" i="2" s="1"/>
  <c r="K189" i="3"/>
  <c r="K325" i="3" s="1"/>
  <c r="K191" i="3"/>
  <c r="Y92" i="2" s="1"/>
  <c r="AK92" i="2" s="1"/>
  <c r="I160" i="3"/>
  <c r="I296" i="3" s="1"/>
  <c r="W62" i="2" s="1"/>
  <c r="AI62" i="2" s="1"/>
  <c r="M188" i="3"/>
  <c r="M324" i="3" s="1"/>
  <c r="AA89" i="2" s="1"/>
  <c r="AM89" i="2" s="1"/>
  <c r="M189" i="3"/>
  <c r="M325" i="3" s="1"/>
  <c r="M190" i="3"/>
  <c r="AA91" i="2" s="1"/>
  <c r="AM91" i="2" s="1"/>
  <c r="M191" i="3"/>
  <c r="AA92" i="2" s="1"/>
  <c r="AM92" i="2" s="1"/>
  <c r="M192" i="3"/>
  <c r="AA93" i="2" s="1"/>
  <c r="AM93" i="2" s="1"/>
  <c r="J188" i="3"/>
  <c r="J324" i="3" s="1"/>
  <c r="X89" i="2" s="1"/>
  <c r="AJ89" i="2" s="1"/>
  <c r="J160" i="3"/>
  <c r="J296" i="3" s="1"/>
  <c r="X62" i="2" s="1"/>
  <c r="AJ62" i="2" s="1"/>
  <c r="N188" i="3"/>
  <c r="N324" i="3" s="1"/>
  <c r="AB89" i="2" s="1"/>
  <c r="AN89" i="2" s="1"/>
  <c r="N189" i="3"/>
  <c r="N325" i="3" s="1"/>
  <c r="N190" i="3"/>
  <c r="AB91" i="2" s="1"/>
  <c r="AN91" i="2" s="1"/>
  <c r="N191" i="3"/>
  <c r="AB92" i="2" s="1"/>
  <c r="AN92" i="2" s="1"/>
  <c r="N192" i="3"/>
  <c r="AB93" i="2" s="1"/>
  <c r="AN93" i="2" s="1"/>
  <c r="C188" i="3"/>
  <c r="C324" i="3" s="1"/>
  <c r="C191" i="3"/>
  <c r="L160" i="3"/>
  <c r="L296" i="3" s="1"/>
  <c r="Z62" i="2" s="1"/>
  <c r="AL62" i="2" s="1"/>
  <c r="D188" i="3"/>
  <c r="D324" i="3" s="1"/>
  <c r="R89" i="2" s="1"/>
  <c r="AD89" i="2" s="1"/>
  <c r="D189" i="3"/>
  <c r="D190" i="3"/>
  <c r="R91" i="2" s="1"/>
  <c r="AD91" i="2" s="1"/>
  <c r="D191" i="3"/>
  <c r="R92" i="2" s="1"/>
  <c r="AD92" i="2" s="1"/>
  <c r="D192" i="3"/>
  <c r="R93" i="2" s="1"/>
  <c r="AD93" i="2" s="1"/>
  <c r="L159" i="3"/>
  <c r="L295" i="3" s="1"/>
  <c r="Z61" i="2" s="1"/>
  <c r="AL61" i="2" s="1"/>
  <c r="B363" i="3"/>
  <c r="C190" i="3"/>
  <c r="C192" i="3"/>
  <c r="M160" i="3"/>
  <c r="M296" i="3" s="1"/>
  <c r="AA62" i="2" s="1"/>
  <c r="AM62" i="2" s="1"/>
  <c r="E188" i="3"/>
  <c r="E324" i="3" s="1"/>
  <c r="S89" i="2" s="1"/>
  <c r="AE89" i="2" s="1"/>
  <c r="E189" i="3"/>
  <c r="E190" i="3"/>
  <c r="S91" i="2" s="1"/>
  <c r="AE91" i="2" s="1"/>
  <c r="E191" i="3"/>
  <c r="S92" i="2" s="1"/>
  <c r="AE92" i="2" s="1"/>
  <c r="E192" i="3"/>
  <c r="S93" i="2" s="1"/>
  <c r="AE93" i="2" s="1"/>
  <c r="I188" i="3"/>
  <c r="I324" i="3" s="1"/>
  <c r="W89" i="2" s="1"/>
  <c r="AI89" i="2" s="1"/>
  <c r="J189" i="3"/>
  <c r="J325" i="3" s="1"/>
  <c r="F188" i="3"/>
  <c r="F324" i="3" s="1"/>
  <c r="T89" i="2" s="1"/>
  <c r="AF89" i="2" s="1"/>
  <c r="F189" i="3"/>
  <c r="F325" i="3" s="1"/>
  <c r="F190" i="3"/>
  <c r="T91" i="2" s="1"/>
  <c r="AF91" i="2" s="1"/>
  <c r="F191" i="3"/>
  <c r="T92" i="2" s="1"/>
  <c r="AF92" i="2" s="1"/>
  <c r="F192" i="3"/>
  <c r="T93" i="2" s="1"/>
  <c r="AF93" i="2" s="1"/>
  <c r="G160" i="3"/>
  <c r="G296" i="3" s="1"/>
  <c r="U62" i="2" s="1"/>
  <c r="AG62" i="2" s="1"/>
  <c r="K160" i="3"/>
  <c r="K296" i="3" s="1"/>
  <c r="Y62" i="2" s="1"/>
  <c r="AK62" i="2" s="1"/>
  <c r="C189" i="3"/>
  <c r="N160" i="3"/>
  <c r="N296" i="3" s="1"/>
  <c r="AB62" i="2" s="1"/>
  <c r="AN62" i="2" s="1"/>
  <c r="C160" i="3"/>
  <c r="C296" i="3" s="1"/>
  <c r="G188" i="3"/>
  <c r="G324" i="3" s="1"/>
  <c r="U89" i="2" s="1"/>
  <c r="AG89" i="2" s="1"/>
  <c r="G189" i="3"/>
  <c r="G325" i="3" s="1"/>
  <c r="G190" i="3"/>
  <c r="U91" i="2" s="1"/>
  <c r="AG91" i="2" s="1"/>
  <c r="G191" i="3"/>
  <c r="U92" i="2" s="1"/>
  <c r="AG92" i="2" s="1"/>
  <c r="G192" i="3"/>
  <c r="U93" i="2" s="1"/>
  <c r="AG93" i="2" s="1"/>
  <c r="F160" i="3"/>
  <c r="F296" i="3" s="1"/>
  <c r="T62" i="2" s="1"/>
  <c r="AF62" i="2" s="1"/>
  <c r="M159" i="3"/>
  <c r="M295" i="3" s="1"/>
  <c r="AA61" i="2" s="1"/>
  <c r="AM61" i="2" s="1"/>
  <c r="D160" i="3"/>
  <c r="D296" i="3" s="1"/>
  <c r="R62" i="2" s="1"/>
  <c r="AD62" i="2" s="1"/>
  <c r="H188" i="3"/>
  <c r="H324" i="3" s="1"/>
  <c r="V89" i="2" s="1"/>
  <c r="AH89" i="2" s="1"/>
  <c r="H189" i="3"/>
  <c r="H325" i="3" s="1"/>
  <c r="H190" i="3"/>
  <c r="V91" i="2" s="1"/>
  <c r="AH91" i="2" s="1"/>
  <c r="H191" i="3"/>
  <c r="V92" i="2" s="1"/>
  <c r="AH92" i="2" s="1"/>
  <c r="H192" i="3"/>
  <c r="V93" i="2" s="1"/>
  <c r="AH93" i="2" s="1"/>
  <c r="N159" i="3"/>
  <c r="N295" i="3" s="1"/>
  <c r="AB61" i="2" s="1"/>
  <c r="AN61" i="2" s="1"/>
  <c r="C159" i="3"/>
  <c r="C295" i="3" s="1"/>
  <c r="D159" i="3"/>
  <c r="D295" i="3" s="1"/>
  <c r="R61" i="2" s="1"/>
  <c r="AD61" i="2" s="1"/>
  <c r="E159" i="3"/>
  <c r="E295" i="3" s="1"/>
  <c r="S61" i="2" s="1"/>
  <c r="AE61" i="2" s="1"/>
  <c r="F159" i="3"/>
  <c r="F295" i="3" s="1"/>
  <c r="T61" i="2" s="1"/>
  <c r="AF61" i="2" s="1"/>
  <c r="G159" i="3"/>
  <c r="G295" i="3" s="1"/>
  <c r="U61" i="2" s="1"/>
  <c r="AG61" i="2" s="1"/>
  <c r="H159" i="3"/>
  <c r="H295" i="3" s="1"/>
  <c r="V61" i="2" s="1"/>
  <c r="AH61" i="2" s="1"/>
  <c r="I159" i="3"/>
  <c r="I295" i="3" s="1"/>
  <c r="W61" i="2" s="1"/>
  <c r="AI61" i="2" s="1"/>
  <c r="J159" i="3"/>
  <c r="J295" i="3" s="1"/>
  <c r="X61" i="2" s="1"/>
  <c r="AJ61" i="2" s="1"/>
  <c r="K159" i="3"/>
  <c r="K295" i="3" s="1"/>
  <c r="Y61" i="2" s="1"/>
  <c r="AK61" i="2" s="1"/>
  <c r="D21" i="3"/>
  <c r="C21" i="3"/>
  <c r="B327" i="3" l="1"/>
  <c r="E395" i="3" s="1"/>
  <c r="Q92" i="2"/>
  <c r="AC92" i="2" s="1"/>
  <c r="B326" i="3"/>
  <c r="E394" i="3" s="1"/>
  <c r="Q91" i="2"/>
  <c r="AC91" i="2" s="1"/>
  <c r="Q93" i="2"/>
  <c r="AC93" i="2" s="1"/>
  <c r="B328" i="3"/>
  <c r="E396" i="3" s="1"/>
  <c r="B324" i="3"/>
  <c r="E392" i="3" s="1"/>
  <c r="Q89" i="2"/>
  <c r="AC89" i="2" s="1"/>
  <c r="B295" i="3"/>
  <c r="E363" i="3" s="1"/>
  <c r="Q61" i="2"/>
  <c r="AC61" i="2" s="1"/>
  <c r="B296" i="3"/>
  <c r="E364" i="3" s="1"/>
  <c r="Q62" i="2"/>
  <c r="AC62" i="2" s="1"/>
  <c r="V90" i="2"/>
  <c r="AH90" i="2" s="1"/>
  <c r="X90" i="2"/>
  <c r="AJ90" i="2" s="1"/>
  <c r="B325" i="3"/>
  <c r="T90" i="2"/>
  <c r="AF90" i="2" s="1"/>
  <c r="AA90" i="2"/>
  <c r="AM90" i="2" s="1"/>
  <c r="Y90" i="2"/>
  <c r="AK90" i="2" s="1"/>
  <c r="U90" i="2"/>
  <c r="AG90" i="2" s="1"/>
  <c r="AB90" i="2"/>
  <c r="AN90" i="2" s="1"/>
  <c r="Z90" i="2"/>
  <c r="AL90" i="2" s="1"/>
  <c r="W90" i="2"/>
  <c r="AI90" i="2" s="1"/>
  <c r="M225" i="3"/>
  <c r="O60" i="2" s="1"/>
  <c r="N225" i="3"/>
  <c r="P60" i="2" s="1"/>
  <c r="L225" i="3"/>
  <c r="N60" i="2" s="1"/>
  <c r="K225" i="3"/>
  <c r="M60" i="2" s="1"/>
  <c r="J225" i="3"/>
  <c r="L60" i="2" s="1"/>
  <c r="F225" i="3"/>
  <c r="H60" i="2" s="1"/>
  <c r="F392" i="3" l="1"/>
  <c r="H392" i="3"/>
  <c r="F396" i="3"/>
  <c r="H396" i="3"/>
  <c r="F394" i="3"/>
  <c r="H394" i="3"/>
  <c r="F395" i="3"/>
  <c r="H395" i="3"/>
  <c r="F364" i="3"/>
  <c r="H364" i="3"/>
  <c r="F363" i="3"/>
  <c r="H363" i="3"/>
  <c r="E393" i="3"/>
  <c r="H393" i="3" s="1"/>
  <c r="G218" i="3"/>
  <c r="H218" i="3"/>
  <c r="I218" i="3"/>
  <c r="J218" i="3"/>
  <c r="K218" i="3"/>
  <c r="L218" i="3"/>
  <c r="M218" i="3"/>
  <c r="N218" i="3"/>
  <c r="F218" i="3"/>
  <c r="N253" i="3"/>
  <c r="P87" i="2" s="1"/>
  <c r="M253" i="3"/>
  <c r="O87" i="2" s="1"/>
  <c r="L253" i="3"/>
  <c r="N87" i="2" s="1"/>
  <c r="K253" i="3"/>
  <c r="M87" i="2" s="1"/>
  <c r="J253" i="3"/>
  <c r="L87" i="2" s="1"/>
  <c r="I253" i="3"/>
  <c r="K87" i="2" s="1"/>
  <c r="H253" i="3"/>
  <c r="J87" i="2" s="1"/>
  <c r="G253" i="3"/>
  <c r="I87" i="2" s="1"/>
  <c r="F253" i="3"/>
  <c r="H87" i="2" s="1"/>
  <c r="M249" i="3"/>
  <c r="H249" i="3"/>
  <c r="G246" i="3"/>
  <c r="H246" i="3"/>
  <c r="I246" i="3"/>
  <c r="J246" i="3"/>
  <c r="K246" i="3"/>
  <c r="L246" i="3"/>
  <c r="M246" i="3"/>
  <c r="N246" i="3"/>
  <c r="F246" i="3"/>
  <c r="I76" i="2"/>
  <c r="J76" i="2"/>
  <c r="K76" i="2"/>
  <c r="L76" i="2"/>
  <c r="M76" i="2"/>
  <c r="N76" i="2"/>
  <c r="O76" i="2"/>
  <c r="P76" i="2"/>
  <c r="H76" i="2"/>
  <c r="M215" i="3"/>
  <c r="H215" i="3"/>
  <c r="I225" i="3"/>
  <c r="K60" i="2" s="1"/>
  <c r="H225" i="3"/>
  <c r="J60" i="2" s="1"/>
  <c r="G225" i="3"/>
  <c r="I60" i="2" s="1"/>
  <c r="F393" i="3" l="1"/>
  <c r="H224" i="3"/>
  <c r="J59" i="2" s="1"/>
  <c r="I224" i="3"/>
  <c r="K59" i="2" s="1"/>
  <c r="J224" i="3"/>
  <c r="L59" i="2" s="1"/>
  <c r="K224" i="3"/>
  <c r="M59" i="2" s="1"/>
  <c r="L224" i="3"/>
  <c r="N59" i="2" s="1"/>
  <c r="M224" i="3"/>
  <c r="O59" i="2" s="1"/>
  <c r="N224" i="3"/>
  <c r="P59" i="2" s="1"/>
  <c r="G224" i="3"/>
  <c r="I59" i="2" s="1"/>
  <c r="B253" i="3" l="1"/>
  <c r="B254" i="3"/>
  <c r="N249" i="3" l="1"/>
  <c r="L249" i="3"/>
  <c r="K249" i="3"/>
  <c r="J249" i="3"/>
  <c r="I249" i="3"/>
  <c r="G249" i="3"/>
  <c r="F249" i="3"/>
  <c r="F245" i="3"/>
  <c r="N245" i="3" s="1"/>
  <c r="F244" i="3"/>
  <c r="J244" i="3" s="1"/>
  <c r="N215" i="3"/>
  <c r="L215" i="3"/>
  <c r="K215" i="3"/>
  <c r="J215" i="3"/>
  <c r="I215" i="3"/>
  <c r="G215" i="3"/>
  <c r="F215" i="3"/>
  <c r="G244" i="3" l="1"/>
  <c r="L244" i="3" s="1"/>
  <c r="M244" i="3"/>
  <c r="H244" i="3"/>
  <c r="I244" i="3"/>
  <c r="N244" i="3"/>
  <c r="M245" i="3"/>
  <c r="H245" i="3"/>
  <c r="K245" i="3"/>
  <c r="J245" i="3"/>
  <c r="I245" i="3"/>
  <c r="K244" i="3"/>
  <c r="G245" i="3"/>
  <c r="L245" i="3" s="1"/>
  <c r="E212" i="3"/>
  <c r="D212" i="3"/>
  <c r="C212" i="3"/>
  <c r="I41" i="3" l="1"/>
  <c r="N9" i="3"/>
  <c r="N212" i="3" s="1"/>
  <c r="M9" i="3"/>
  <c r="M212" i="3" s="1"/>
  <c r="L9" i="3"/>
  <c r="L212" i="3" s="1"/>
  <c r="K9" i="3"/>
  <c r="K212" i="3" s="1"/>
  <c r="J9" i="3"/>
  <c r="J212" i="3" s="1"/>
  <c r="I9" i="3"/>
  <c r="I212" i="3" s="1"/>
  <c r="H9" i="3"/>
  <c r="H212" i="3" s="1"/>
  <c r="G9" i="3"/>
  <c r="G212" i="3" s="1"/>
  <c r="F9" i="3"/>
  <c r="F212" i="3" s="1"/>
  <c r="E9" i="3"/>
  <c r="D9" i="3"/>
  <c r="C9" i="3"/>
  <c r="B212" i="3" l="1"/>
  <c r="I86" i="2"/>
  <c r="H86" i="2"/>
  <c r="G86" i="2"/>
  <c r="F86" i="2"/>
  <c r="E86" i="2"/>
  <c r="D86" i="2"/>
  <c r="D391" i="3" l="1"/>
  <c r="A391" i="3"/>
  <c r="D390" i="3"/>
  <c r="A390" i="3"/>
  <c r="A389" i="3"/>
  <c r="A388" i="3"/>
  <c r="A254" i="3"/>
  <c r="A253" i="3"/>
  <c r="A252" i="3"/>
  <c r="B118" i="3"/>
  <c r="B391" i="3" s="1"/>
  <c r="A118" i="3"/>
  <c r="B117" i="3"/>
  <c r="A117" i="3"/>
  <c r="B116" i="3"/>
  <c r="B389" i="3" s="1"/>
  <c r="A116" i="3"/>
  <c r="B115" i="3"/>
  <c r="B388" i="3" s="1"/>
  <c r="A115" i="3"/>
  <c r="B51" i="3"/>
  <c r="B50" i="3"/>
  <c r="B49" i="3"/>
  <c r="B38" i="3"/>
  <c r="M174" i="3" l="1"/>
  <c r="M310" i="3" s="1"/>
  <c r="AA76" i="2" s="1"/>
  <c r="AM76" i="2" s="1"/>
  <c r="L174" i="3"/>
  <c r="C378" i="3"/>
  <c r="K174" i="3"/>
  <c r="K310" i="3" s="1"/>
  <c r="Y76" i="2" s="1"/>
  <c r="AK76" i="2" s="1"/>
  <c r="J174" i="3"/>
  <c r="J310" i="3" s="1"/>
  <c r="X76" i="2" s="1"/>
  <c r="AJ76" i="2" s="1"/>
  <c r="I174" i="3"/>
  <c r="I310" i="3" s="1"/>
  <c r="W76" i="2" s="1"/>
  <c r="AI76" i="2" s="1"/>
  <c r="H174" i="3"/>
  <c r="H310" i="3" s="1"/>
  <c r="V76" i="2" s="1"/>
  <c r="AH76" i="2" s="1"/>
  <c r="G174" i="3"/>
  <c r="G310" i="3" s="1"/>
  <c r="U76" i="2" s="1"/>
  <c r="AG76" i="2" s="1"/>
  <c r="F174" i="3"/>
  <c r="F310" i="3" s="1"/>
  <c r="T76" i="2" s="1"/>
  <c r="AF76" i="2" s="1"/>
  <c r="E174" i="3"/>
  <c r="E310" i="3" s="1"/>
  <c r="S76" i="2" s="1"/>
  <c r="AE76" i="2" s="1"/>
  <c r="D174" i="3"/>
  <c r="D310" i="3" s="1"/>
  <c r="R76" i="2" s="1"/>
  <c r="AD76" i="2" s="1"/>
  <c r="C174" i="3"/>
  <c r="C310" i="3" s="1"/>
  <c r="N174" i="3"/>
  <c r="N310" i="3" s="1"/>
  <c r="AB76" i="2" s="1"/>
  <c r="AN76" i="2" s="1"/>
  <c r="I186" i="3"/>
  <c r="I322" i="3" s="1"/>
  <c r="W87" i="2" s="1"/>
  <c r="AI87" i="2" s="1"/>
  <c r="H186" i="3"/>
  <c r="H322" i="3" s="1"/>
  <c r="V87" i="2" s="1"/>
  <c r="AH87" i="2" s="1"/>
  <c r="K186" i="3"/>
  <c r="K322" i="3" s="1"/>
  <c r="Y87" i="2" s="1"/>
  <c r="AK87" i="2" s="1"/>
  <c r="G186" i="3"/>
  <c r="G322" i="3" s="1"/>
  <c r="U87" i="2" s="1"/>
  <c r="AG87" i="2" s="1"/>
  <c r="F186" i="3"/>
  <c r="F322" i="3" s="1"/>
  <c r="T87" i="2" s="1"/>
  <c r="AF87" i="2" s="1"/>
  <c r="E186" i="3"/>
  <c r="E322" i="3" s="1"/>
  <c r="S87" i="2" s="1"/>
  <c r="AE87" i="2" s="1"/>
  <c r="D186" i="3"/>
  <c r="D322" i="3" s="1"/>
  <c r="R87" i="2" s="1"/>
  <c r="AD87" i="2" s="1"/>
  <c r="C186" i="3"/>
  <c r="C322" i="3" s="1"/>
  <c r="J186" i="3"/>
  <c r="J322" i="3" s="1"/>
  <c r="X87" i="2" s="1"/>
  <c r="AJ87" i="2" s="1"/>
  <c r="N186" i="3"/>
  <c r="N322" i="3" s="1"/>
  <c r="AB87" i="2" s="1"/>
  <c r="AN87" i="2" s="1"/>
  <c r="M186" i="3"/>
  <c r="M322" i="3" s="1"/>
  <c r="AA87" i="2" s="1"/>
  <c r="AM87" i="2" s="1"/>
  <c r="L186" i="3"/>
  <c r="L322" i="3" s="1"/>
  <c r="Z87" i="2" s="1"/>
  <c r="AL87" i="2" s="1"/>
  <c r="L310" i="3"/>
  <c r="Z76" i="2" s="1"/>
  <c r="AL76" i="2" s="1"/>
  <c r="C389" i="3"/>
  <c r="H185" i="3"/>
  <c r="H321" i="3" s="1"/>
  <c r="V86" i="2" s="1"/>
  <c r="J185" i="3"/>
  <c r="J321" i="3" s="1"/>
  <c r="X86" i="2" s="1"/>
  <c r="G185" i="3"/>
  <c r="G321" i="3" s="1"/>
  <c r="U86" i="2" s="1"/>
  <c r="AG86" i="2" s="1"/>
  <c r="K185" i="3"/>
  <c r="K321" i="3" s="1"/>
  <c r="Y86" i="2" s="1"/>
  <c r="I185" i="3"/>
  <c r="I321" i="3" s="1"/>
  <c r="W86" i="2" s="1"/>
  <c r="F185" i="3"/>
  <c r="F321" i="3" s="1"/>
  <c r="T86" i="2" s="1"/>
  <c r="AF86" i="2" s="1"/>
  <c r="C185" i="3"/>
  <c r="C321" i="3" s="1"/>
  <c r="E185" i="3"/>
  <c r="E321" i="3" s="1"/>
  <c r="S86" i="2" s="1"/>
  <c r="AE86" i="2" s="1"/>
  <c r="D185" i="3"/>
  <c r="D321" i="3" s="1"/>
  <c r="R86" i="2" s="1"/>
  <c r="AD86" i="2" s="1"/>
  <c r="N185" i="3"/>
  <c r="N321" i="3" s="1"/>
  <c r="AB86" i="2" s="1"/>
  <c r="M185" i="3"/>
  <c r="M321" i="3" s="1"/>
  <c r="AA86" i="2" s="1"/>
  <c r="L185" i="3"/>
  <c r="L321" i="3" s="1"/>
  <c r="Z86" i="2" s="1"/>
  <c r="H187" i="3"/>
  <c r="H323" i="3" s="1"/>
  <c r="V88" i="2" s="1"/>
  <c r="AH88" i="2" s="1"/>
  <c r="G187" i="3"/>
  <c r="G323" i="3" s="1"/>
  <c r="U88" i="2" s="1"/>
  <c r="AG88" i="2" s="1"/>
  <c r="J187" i="3"/>
  <c r="J323" i="3" s="1"/>
  <c r="X88" i="2" s="1"/>
  <c r="AJ88" i="2" s="1"/>
  <c r="F187" i="3"/>
  <c r="F323" i="3" s="1"/>
  <c r="T88" i="2" s="1"/>
  <c r="AF88" i="2" s="1"/>
  <c r="E187" i="3"/>
  <c r="E323" i="3" s="1"/>
  <c r="S88" i="2" s="1"/>
  <c r="AE88" i="2" s="1"/>
  <c r="C187" i="3"/>
  <c r="C323" i="3" s="1"/>
  <c r="D187" i="3"/>
  <c r="D323" i="3" s="1"/>
  <c r="R88" i="2" s="1"/>
  <c r="AD88" i="2" s="1"/>
  <c r="N187" i="3"/>
  <c r="N323" i="3" s="1"/>
  <c r="AB88" i="2" s="1"/>
  <c r="AN88" i="2" s="1"/>
  <c r="M187" i="3"/>
  <c r="M323" i="3" s="1"/>
  <c r="AA88" i="2" s="1"/>
  <c r="AM88" i="2" s="1"/>
  <c r="L187" i="3"/>
  <c r="L323" i="3" s="1"/>
  <c r="Z88" i="2" s="1"/>
  <c r="AL88" i="2" s="1"/>
  <c r="K187" i="3"/>
  <c r="K323" i="3" s="1"/>
  <c r="Y88" i="2" s="1"/>
  <c r="AK88" i="2" s="1"/>
  <c r="I187" i="3"/>
  <c r="I323" i="3" s="1"/>
  <c r="W88" i="2" s="1"/>
  <c r="AI88" i="2" s="1"/>
  <c r="W107" i="2"/>
  <c r="AI107" i="2" s="1"/>
  <c r="U107" i="2"/>
  <c r="AG107" i="2" s="1"/>
  <c r="V107" i="2"/>
  <c r="AH107" i="2" s="1"/>
  <c r="X107" i="2"/>
  <c r="AJ107" i="2" s="1"/>
  <c r="Y107" i="2"/>
  <c r="AK107" i="2" s="1"/>
  <c r="M86" i="2"/>
  <c r="N86" i="2"/>
  <c r="Z107" i="2"/>
  <c r="AL107" i="2" s="1"/>
  <c r="O86" i="2"/>
  <c r="AA107" i="2"/>
  <c r="AM107" i="2" s="1"/>
  <c r="B390" i="3"/>
  <c r="K86" i="2"/>
  <c r="L86" i="2"/>
  <c r="AB107" i="2"/>
  <c r="AN107" i="2" s="1"/>
  <c r="C390" i="3"/>
  <c r="R107" i="2"/>
  <c r="AD107" i="2" s="1"/>
  <c r="S107" i="2"/>
  <c r="AE107" i="2" s="1"/>
  <c r="P86" i="2"/>
  <c r="Q107" i="2"/>
  <c r="AC107" i="2" s="1"/>
  <c r="T107" i="2"/>
  <c r="AF107" i="2" s="1"/>
  <c r="C391" i="3"/>
  <c r="B310" i="3" l="1"/>
  <c r="E378" i="3" s="1"/>
  <c r="H378" i="3" s="1"/>
  <c r="AM86" i="2"/>
  <c r="AL86" i="2"/>
  <c r="AN86" i="2"/>
  <c r="AK86" i="2"/>
  <c r="AJ86" i="2"/>
  <c r="B323" i="3"/>
  <c r="E391" i="3" s="1"/>
  <c r="Q88" i="2"/>
  <c r="AC88" i="2" s="1"/>
  <c r="B322" i="3"/>
  <c r="E390" i="3" s="1"/>
  <c r="Q87" i="2"/>
  <c r="AC87" i="2" s="1"/>
  <c r="Q86" i="2"/>
  <c r="AC86" i="2" s="1"/>
  <c r="B321" i="3"/>
  <c r="E389" i="3" s="1"/>
  <c r="H389" i="3" s="1"/>
  <c r="Q76" i="2"/>
  <c r="AC76" i="2" s="1"/>
  <c r="AI86" i="2"/>
  <c r="B252" i="3"/>
  <c r="D389" i="3" s="1"/>
  <c r="J86" i="2"/>
  <c r="AH86" i="2" s="1"/>
  <c r="F378" i="3" l="1"/>
  <c r="F390" i="3"/>
  <c r="H390" i="3"/>
  <c r="F391" i="3"/>
  <c r="H391" i="3"/>
  <c r="F389" i="3"/>
  <c r="C71" i="3"/>
  <c r="D71" i="3"/>
  <c r="E71" i="3"/>
  <c r="F71" i="3"/>
  <c r="G71" i="3"/>
  <c r="H71" i="3"/>
  <c r="I71" i="3"/>
  <c r="J71" i="3"/>
  <c r="K71" i="3"/>
  <c r="L71" i="3"/>
  <c r="M71" i="3"/>
  <c r="N71" i="3"/>
  <c r="D85" i="2" l="1"/>
  <c r="D84" i="2"/>
  <c r="A387" i="3"/>
  <c r="A251" i="3"/>
  <c r="A250" i="3"/>
  <c r="B114" i="3"/>
  <c r="B387" i="3" s="1"/>
  <c r="A114" i="3"/>
  <c r="B48" i="3"/>
  <c r="B47" i="3"/>
  <c r="H183" i="3" l="1"/>
  <c r="H319" i="3" s="1"/>
  <c r="V84" i="2" s="1"/>
  <c r="C183" i="3"/>
  <c r="C319" i="3" s="1"/>
  <c r="J183" i="3"/>
  <c r="J319" i="3" s="1"/>
  <c r="X84" i="2" s="1"/>
  <c r="G183" i="3"/>
  <c r="G319" i="3" s="1"/>
  <c r="U84" i="2" s="1"/>
  <c r="F183" i="3"/>
  <c r="F319" i="3" s="1"/>
  <c r="T84" i="2" s="1"/>
  <c r="E183" i="3"/>
  <c r="E319" i="3" s="1"/>
  <c r="S84" i="2" s="1"/>
  <c r="I183" i="3"/>
  <c r="I319" i="3" s="1"/>
  <c r="W84" i="2" s="1"/>
  <c r="D183" i="3"/>
  <c r="D319" i="3" s="1"/>
  <c r="R84" i="2" s="1"/>
  <c r="N183" i="3"/>
  <c r="N319" i="3" s="1"/>
  <c r="AB84" i="2" s="1"/>
  <c r="K183" i="3"/>
  <c r="K319" i="3" s="1"/>
  <c r="Y84" i="2" s="1"/>
  <c r="M183" i="3"/>
  <c r="M319" i="3" s="1"/>
  <c r="AA84" i="2" s="1"/>
  <c r="L183" i="3"/>
  <c r="L319" i="3" s="1"/>
  <c r="Z84" i="2" s="1"/>
  <c r="C388" i="3"/>
  <c r="H184" i="3"/>
  <c r="H320" i="3" s="1"/>
  <c r="V85" i="2" s="1"/>
  <c r="I184" i="3"/>
  <c r="I320" i="3" s="1"/>
  <c r="W85" i="2" s="1"/>
  <c r="G184" i="3"/>
  <c r="G320" i="3" s="1"/>
  <c r="U85" i="2" s="1"/>
  <c r="J184" i="3"/>
  <c r="J320" i="3" s="1"/>
  <c r="X85" i="2" s="1"/>
  <c r="F184" i="3"/>
  <c r="F320" i="3" s="1"/>
  <c r="T85" i="2" s="1"/>
  <c r="E184" i="3"/>
  <c r="E320" i="3" s="1"/>
  <c r="S85" i="2" s="1"/>
  <c r="C184" i="3"/>
  <c r="C320" i="3" s="1"/>
  <c r="D184" i="3"/>
  <c r="D320" i="3" s="1"/>
  <c r="R85" i="2" s="1"/>
  <c r="K184" i="3"/>
  <c r="K320" i="3" s="1"/>
  <c r="Y85" i="2" s="1"/>
  <c r="N184" i="3"/>
  <c r="N320" i="3" s="1"/>
  <c r="AB85" i="2" s="1"/>
  <c r="M184" i="3"/>
  <c r="M320" i="3" s="1"/>
  <c r="AA85" i="2" s="1"/>
  <c r="L184" i="3"/>
  <c r="L320" i="3" s="1"/>
  <c r="Z85" i="2" s="1"/>
  <c r="G84" i="2"/>
  <c r="I85" i="2"/>
  <c r="F85" i="2"/>
  <c r="K85" i="2"/>
  <c r="G85" i="2"/>
  <c r="H84" i="2"/>
  <c r="I84" i="2"/>
  <c r="AG84" i="2" s="1"/>
  <c r="H85" i="2"/>
  <c r="AF85" i="2" s="1"/>
  <c r="J85" i="2"/>
  <c r="C387" i="3"/>
  <c r="M84" i="2"/>
  <c r="L85" i="2"/>
  <c r="N84" i="2"/>
  <c r="N85" i="2"/>
  <c r="J84" i="2"/>
  <c r="L84" i="2"/>
  <c r="P84" i="2"/>
  <c r="O85" i="2"/>
  <c r="E84" i="2"/>
  <c r="P85" i="2"/>
  <c r="F84" i="2"/>
  <c r="E85" i="2"/>
  <c r="B22" i="3"/>
  <c r="B21" i="3"/>
  <c r="B20" i="3"/>
  <c r="B19" i="3"/>
  <c r="B18" i="3"/>
  <c r="C358" i="3" s="1"/>
  <c r="B17" i="3"/>
  <c r="C357" i="3" s="1"/>
  <c r="B16" i="3"/>
  <c r="B15" i="3"/>
  <c r="B14" i="3"/>
  <c r="B13" i="3"/>
  <c r="B12" i="3"/>
  <c r="B11" i="3"/>
  <c r="B10" i="3"/>
  <c r="A362" i="3"/>
  <c r="A361" i="3"/>
  <c r="A360" i="3"/>
  <c r="A359" i="3"/>
  <c r="A358" i="3"/>
  <c r="A357" i="3"/>
  <c r="A225" i="3"/>
  <c r="A224" i="3"/>
  <c r="A223" i="3"/>
  <c r="A222" i="3"/>
  <c r="A221" i="3"/>
  <c r="A220" i="3"/>
  <c r="B87" i="3"/>
  <c r="A87" i="3"/>
  <c r="B86" i="3"/>
  <c r="A86" i="3"/>
  <c r="B85" i="3"/>
  <c r="A85" i="3"/>
  <c r="B84" i="3"/>
  <c r="A84" i="3"/>
  <c r="D55" i="2"/>
  <c r="AD84" i="2" l="1"/>
  <c r="AJ84" i="2"/>
  <c r="AI85" i="2"/>
  <c r="AK84" i="2"/>
  <c r="AF84" i="2"/>
  <c r="AN84" i="2"/>
  <c r="AJ85" i="2"/>
  <c r="AN85" i="2"/>
  <c r="B320" i="3"/>
  <c r="E388" i="3" s="1"/>
  <c r="H388" i="3" s="1"/>
  <c r="Q85" i="2"/>
  <c r="AC85" i="2" s="1"/>
  <c r="AE85" i="2"/>
  <c r="AD85" i="2"/>
  <c r="AM85" i="2"/>
  <c r="AL85" i="2"/>
  <c r="AG85" i="2"/>
  <c r="AL84" i="2"/>
  <c r="AE84" i="2"/>
  <c r="Q84" i="2"/>
  <c r="AC84" i="2" s="1"/>
  <c r="B319" i="3"/>
  <c r="E387" i="3" s="1"/>
  <c r="H387" i="3" s="1"/>
  <c r="AH85" i="2"/>
  <c r="M157" i="3"/>
  <c r="M293" i="3" s="1"/>
  <c r="AA59" i="2" s="1"/>
  <c r="AM59" i="2" s="1"/>
  <c r="D157" i="3"/>
  <c r="D293" i="3" s="1"/>
  <c r="R59" i="2" s="1"/>
  <c r="AD59" i="2" s="1"/>
  <c r="L157" i="3"/>
  <c r="L293" i="3" s="1"/>
  <c r="Z59" i="2" s="1"/>
  <c r="AL59" i="2" s="1"/>
  <c r="C157" i="3"/>
  <c r="C293" i="3" s="1"/>
  <c r="I157" i="3"/>
  <c r="I293" i="3" s="1"/>
  <c r="W59" i="2" s="1"/>
  <c r="AI59" i="2" s="1"/>
  <c r="H157" i="3"/>
  <c r="H293" i="3" s="1"/>
  <c r="V59" i="2" s="1"/>
  <c r="AH59" i="2" s="1"/>
  <c r="E157" i="3"/>
  <c r="E293" i="3" s="1"/>
  <c r="S59" i="2" s="1"/>
  <c r="AE59" i="2" s="1"/>
  <c r="J157" i="3"/>
  <c r="J293" i="3" s="1"/>
  <c r="X59" i="2" s="1"/>
  <c r="AJ59" i="2" s="1"/>
  <c r="F157" i="3"/>
  <c r="F293" i="3" s="1"/>
  <c r="T59" i="2" s="1"/>
  <c r="AF59" i="2" s="1"/>
  <c r="K157" i="3"/>
  <c r="K293" i="3" s="1"/>
  <c r="Y59" i="2" s="1"/>
  <c r="AK59" i="2" s="1"/>
  <c r="N157" i="3"/>
  <c r="N293" i="3" s="1"/>
  <c r="AB59" i="2" s="1"/>
  <c r="AN59" i="2" s="1"/>
  <c r="G157" i="3"/>
  <c r="G293" i="3" s="1"/>
  <c r="U59" i="2" s="1"/>
  <c r="AG59" i="2" s="1"/>
  <c r="AH84" i="2"/>
  <c r="M158" i="3"/>
  <c r="M294" i="3" s="1"/>
  <c r="AA60" i="2" s="1"/>
  <c r="AM60" i="2" s="1"/>
  <c r="G158" i="3"/>
  <c r="G294" i="3" s="1"/>
  <c r="U60" i="2" s="1"/>
  <c r="AG60" i="2" s="1"/>
  <c r="K158" i="3"/>
  <c r="K294" i="3" s="1"/>
  <c r="Y60" i="2" s="1"/>
  <c r="AK60" i="2" s="1"/>
  <c r="C158" i="3"/>
  <c r="C294" i="3" s="1"/>
  <c r="I158" i="3"/>
  <c r="I294" i="3" s="1"/>
  <c r="W60" i="2" s="1"/>
  <c r="AI60" i="2" s="1"/>
  <c r="J158" i="3"/>
  <c r="J294" i="3" s="1"/>
  <c r="X60" i="2" s="1"/>
  <c r="AJ60" i="2" s="1"/>
  <c r="L158" i="3"/>
  <c r="L294" i="3" s="1"/>
  <c r="Z60" i="2" s="1"/>
  <c r="AL60" i="2" s="1"/>
  <c r="H158" i="3"/>
  <c r="H294" i="3" s="1"/>
  <c r="V60" i="2" s="1"/>
  <c r="AH60" i="2" s="1"/>
  <c r="F158" i="3"/>
  <c r="F294" i="3" s="1"/>
  <c r="T60" i="2" s="1"/>
  <c r="AF60" i="2" s="1"/>
  <c r="N158" i="3"/>
  <c r="N294" i="3" s="1"/>
  <c r="AB60" i="2" s="1"/>
  <c r="AN60" i="2" s="1"/>
  <c r="D158" i="3"/>
  <c r="D294" i="3" s="1"/>
  <c r="R60" i="2" s="1"/>
  <c r="AD60" i="2" s="1"/>
  <c r="E158" i="3"/>
  <c r="E294" i="3" s="1"/>
  <c r="S60" i="2" s="1"/>
  <c r="AE60" i="2" s="1"/>
  <c r="L156" i="3"/>
  <c r="L292" i="3" s="1"/>
  <c r="Z58" i="2" s="1"/>
  <c r="AL58" i="2" s="1"/>
  <c r="K156" i="3"/>
  <c r="K292" i="3" s="1"/>
  <c r="Y58" i="2" s="1"/>
  <c r="AK58" i="2" s="1"/>
  <c r="J156" i="3"/>
  <c r="X58" i="2" s="1"/>
  <c r="AJ58" i="2" s="1"/>
  <c r="D156" i="3"/>
  <c r="R58" i="2" s="1"/>
  <c r="AD58" i="2" s="1"/>
  <c r="I156" i="3"/>
  <c r="W58" i="2" s="1"/>
  <c r="AI58" i="2" s="1"/>
  <c r="M156" i="3"/>
  <c r="AA58" i="2" s="1"/>
  <c r="AM58" i="2" s="1"/>
  <c r="H156" i="3"/>
  <c r="V58" i="2" s="1"/>
  <c r="AH58" i="2" s="1"/>
  <c r="G156" i="3"/>
  <c r="G292" i="3" s="1"/>
  <c r="U58" i="2" s="1"/>
  <c r="AG58" i="2" s="1"/>
  <c r="F156" i="3"/>
  <c r="F292" i="3" s="1"/>
  <c r="T58" i="2" s="1"/>
  <c r="AF58" i="2" s="1"/>
  <c r="E156" i="3"/>
  <c r="S58" i="2" s="1"/>
  <c r="AE58" i="2" s="1"/>
  <c r="C156" i="3"/>
  <c r="N156" i="3"/>
  <c r="AB58" i="2" s="1"/>
  <c r="AN58" i="2" s="1"/>
  <c r="L153" i="3"/>
  <c r="K153" i="3"/>
  <c r="M153" i="3"/>
  <c r="J153" i="3"/>
  <c r="I153" i="3"/>
  <c r="H153" i="3"/>
  <c r="G153" i="3"/>
  <c r="D153" i="3"/>
  <c r="F153" i="3"/>
  <c r="E153" i="3"/>
  <c r="C153" i="3"/>
  <c r="N153" i="3"/>
  <c r="L154" i="3"/>
  <c r="L290" i="3" s="1"/>
  <c r="Z56" i="2" s="1"/>
  <c r="AL56" i="2" s="1"/>
  <c r="K154" i="3"/>
  <c r="K290" i="3" s="1"/>
  <c r="Y56" i="2" s="1"/>
  <c r="AK56" i="2" s="1"/>
  <c r="D154" i="3"/>
  <c r="D290" i="3" s="1"/>
  <c r="R56" i="2" s="1"/>
  <c r="AD56" i="2" s="1"/>
  <c r="J154" i="3"/>
  <c r="J290" i="3" s="1"/>
  <c r="X56" i="2" s="1"/>
  <c r="AJ56" i="2" s="1"/>
  <c r="M154" i="3"/>
  <c r="M290" i="3" s="1"/>
  <c r="AA56" i="2" s="1"/>
  <c r="AM56" i="2" s="1"/>
  <c r="I154" i="3"/>
  <c r="I290" i="3" s="1"/>
  <c r="W56" i="2" s="1"/>
  <c r="AI56" i="2" s="1"/>
  <c r="H154" i="3"/>
  <c r="H290" i="3" s="1"/>
  <c r="V56" i="2" s="1"/>
  <c r="AH56" i="2" s="1"/>
  <c r="G154" i="3"/>
  <c r="G290" i="3" s="1"/>
  <c r="U56" i="2" s="1"/>
  <c r="AG56" i="2" s="1"/>
  <c r="F154" i="3"/>
  <c r="F290" i="3" s="1"/>
  <c r="T56" i="2" s="1"/>
  <c r="AF56" i="2" s="1"/>
  <c r="E154" i="3"/>
  <c r="E290" i="3" s="1"/>
  <c r="S56" i="2" s="1"/>
  <c r="AE56" i="2" s="1"/>
  <c r="C154" i="3"/>
  <c r="C290" i="3" s="1"/>
  <c r="N154" i="3"/>
  <c r="N290" i="3" s="1"/>
  <c r="AB56" i="2" s="1"/>
  <c r="AN56" i="2" s="1"/>
  <c r="B359" i="3"/>
  <c r="L155" i="3"/>
  <c r="L291" i="3" s="1"/>
  <c r="Z57" i="2" s="1"/>
  <c r="AL57" i="2" s="1"/>
  <c r="K155" i="3"/>
  <c r="K291" i="3" s="1"/>
  <c r="Y57" i="2" s="1"/>
  <c r="AK57" i="2" s="1"/>
  <c r="J155" i="3"/>
  <c r="J291" i="3" s="1"/>
  <c r="X57" i="2" s="1"/>
  <c r="AJ57" i="2" s="1"/>
  <c r="I155" i="3"/>
  <c r="I291" i="3" s="1"/>
  <c r="W57" i="2" s="1"/>
  <c r="AI57" i="2" s="1"/>
  <c r="H155" i="3"/>
  <c r="H291" i="3" s="1"/>
  <c r="V57" i="2" s="1"/>
  <c r="AH57" i="2" s="1"/>
  <c r="G155" i="3"/>
  <c r="G291" i="3" s="1"/>
  <c r="U57" i="2" s="1"/>
  <c r="AG57" i="2" s="1"/>
  <c r="F155" i="3"/>
  <c r="F291" i="3" s="1"/>
  <c r="T57" i="2" s="1"/>
  <c r="AF57" i="2" s="1"/>
  <c r="E155" i="3"/>
  <c r="E291" i="3" s="1"/>
  <c r="S57" i="2" s="1"/>
  <c r="AE57" i="2" s="1"/>
  <c r="D155" i="3"/>
  <c r="D291" i="3" s="1"/>
  <c r="R57" i="2" s="1"/>
  <c r="AD57" i="2" s="1"/>
  <c r="C155" i="3"/>
  <c r="C291" i="3" s="1"/>
  <c r="M155" i="3"/>
  <c r="M291" i="3" s="1"/>
  <c r="AA57" i="2" s="1"/>
  <c r="AM57" i="2" s="1"/>
  <c r="N155" i="3"/>
  <c r="N291" i="3" s="1"/>
  <c r="AB57" i="2" s="1"/>
  <c r="AN57" i="2" s="1"/>
  <c r="C362" i="3"/>
  <c r="K84" i="2"/>
  <c r="AI84" i="2" s="1"/>
  <c r="B251" i="3"/>
  <c r="D388" i="3" s="1"/>
  <c r="M85" i="2"/>
  <c r="AK85" i="2" s="1"/>
  <c r="O84" i="2"/>
  <c r="AM84" i="2" s="1"/>
  <c r="L55" i="2"/>
  <c r="F55" i="2"/>
  <c r="E55" i="2"/>
  <c r="G55" i="2"/>
  <c r="O55" i="2"/>
  <c r="P55" i="2"/>
  <c r="I55" i="2"/>
  <c r="J55" i="2"/>
  <c r="B362" i="3"/>
  <c r="B360" i="3"/>
  <c r="B357" i="3"/>
  <c r="N55" i="2"/>
  <c r="K55" i="2"/>
  <c r="B361" i="3"/>
  <c r="B358" i="3"/>
  <c r="C359" i="3"/>
  <c r="H55" i="2"/>
  <c r="M55" i="2"/>
  <c r="C361" i="3"/>
  <c r="C360" i="3"/>
  <c r="B294" i="3" l="1"/>
  <c r="E362" i="3" s="1"/>
  <c r="Q60" i="2"/>
  <c r="AC60" i="2" s="1"/>
  <c r="B293" i="3"/>
  <c r="E361" i="3" s="1"/>
  <c r="H361" i="3" s="1"/>
  <c r="Q59" i="2"/>
  <c r="AC59" i="2" s="1"/>
  <c r="B291" i="3"/>
  <c r="E359" i="3" s="1"/>
  <c r="H359" i="3" s="1"/>
  <c r="Q57" i="2"/>
  <c r="AC57" i="2" s="1"/>
  <c r="B290" i="3"/>
  <c r="E358" i="3" s="1"/>
  <c r="Q56" i="2"/>
  <c r="AC56" i="2" s="1"/>
  <c r="F388" i="3"/>
  <c r="F387" i="3"/>
  <c r="B292" i="3"/>
  <c r="E360" i="3" s="1"/>
  <c r="H360" i="3" s="1"/>
  <c r="Q58" i="2"/>
  <c r="AC58" i="2" s="1"/>
  <c r="S55" i="2"/>
  <c r="AE55" i="2" s="1"/>
  <c r="T55" i="2"/>
  <c r="AF55" i="2" s="1"/>
  <c r="W55" i="2"/>
  <c r="AI55" i="2" s="1"/>
  <c r="Z55" i="2"/>
  <c r="AL55" i="2" s="1"/>
  <c r="V55" i="2"/>
  <c r="AH55" i="2" s="1"/>
  <c r="AB55" i="2"/>
  <c r="AN55" i="2" s="1"/>
  <c r="R55" i="2"/>
  <c r="AD55" i="2" s="1"/>
  <c r="X55" i="2"/>
  <c r="AJ55" i="2" s="1"/>
  <c r="Y55" i="2"/>
  <c r="AK55" i="2" s="1"/>
  <c r="Q55" i="2"/>
  <c r="AC55" i="2" s="1"/>
  <c r="B289" i="3"/>
  <c r="U55" i="2"/>
  <c r="AG55" i="2" s="1"/>
  <c r="AA55" i="2"/>
  <c r="AM55" i="2" s="1"/>
  <c r="B250" i="3"/>
  <c r="D387" i="3" s="1"/>
  <c r="B221" i="3"/>
  <c r="D358" i="3" s="1"/>
  <c r="B223" i="3"/>
  <c r="D360" i="3" s="1"/>
  <c r="B220" i="3"/>
  <c r="D357" i="3" s="1"/>
  <c r="B225" i="3"/>
  <c r="D362" i="3" s="1"/>
  <c r="B222" i="3"/>
  <c r="D359" i="3" s="1"/>
  <c r="B224" i="3"/>
  <c r="D361" i="3" s="1"/>
  <c r="F358" i="3" l="1"/>
  <c r="H358" i="3"/>
  <c r="F362" i="3"/>
  <c r="H362" i="3"/>
  <c r="F359" i="3"/>
  <c r="F361" i="3"/>
  <c r="F360" i="3"/>
  <c r="E357" i="3"/>
  <c r="H357" i="3" s="1"/>
  <c r="B46" i="3"/>
  <c r="F357" i="3" l="1"/>
  <c r="A2" i="2"/>
  <c r="B113" i="2" s="1"/>
  <c r="N141" i="3"/>
  <c r="M141" i="3"/>
  <c r="L141" i="3"/>
  <c r="K141" i="3"/>
  <c r="J141" i="3"/>
  <c r="I141" i="3"/>
  <c r="H141" i="3"/>
  <c r="G141" i="3"/>
  <c r="F141" i="3"/>
  <c r="E141" i="3"/>
  <c r="D141" i="3"/>
  <c r="C141" i="3"/>
  <c r="B141" i="3"/>
  <c r="D7" i="3" l="1"/>
  <c r="D279" i="3"/>
  <c r="E7" i="3"/>
  <c r="E279" i="3"/>
  <c r="B7" i="3"/>
  <c r="B279" i="3"/>
  <c r="E347" i="3" s="1"/>
  <c r="M7" i="3"/>
  <c r="M279" i="3"/>
  <c r="F7" i="3"/>
  <c r="F279" i="3"/>
  <c r="I7" i="3"/>
  <c r="I279" i="3"/>
  <c r="J74" i="3"/>
  <c r="J279" i="3"/>
  <c r="L7" i="3"/>
  <c r="L279" i="3"/>
  <c r="C74" i="3"/>
  <c r="C279" i="3"/>
  <c r="G74" i="3"/>
  <c r="G279" i="3"/>
  <c r="H74" i="3"/>
  <c r="H279" i="3"/>
  <c r="K74" i="3"/>
  <c r="K279" i="3"/>
  <c r="N7" i="3"/>
  <c r="N279" i="3"/>
  <c r="M74" i="3"/>
  <c r="E74" i="3"/>
  <c r="I74" i="3"/>
  <c r="H7" i="3"/>
  <c r="B74" i="3"/>
  <c r="D74" i="3"/>
  <c r="L74" i="3"/>
  <c r="G7" i="3"/>
  <c r="F74" i="3"/>
  <c r="N74" i="3"/>
  <c r="J7" i="3"/>
  <c r="C7" i="3"/>
  <c r="K7" i="3"/>
  <c r="D83" i="2"/>
  <c r="D82" i="2"/>
  <c r="D54" i="2"/>
  <c r="D53" i="2"/>
  <c r="B83" i="3"/>
  <c r="A83" i="3"/>
  <c r="B113" i="3"/>
  <c r="A113" i="3"/>
  <c r="G347" i="3" l="1"/>
  <c r="H347" i="3"/>
  <c r="H182" i="3"/>
  <c r="H318" i="3" s="1"/>
  <c r="V83" i="2" s="1"/>
  <c r="G182" i="3"/>
  <c r="G318" i="3" s="1"/>
  <c r="U83" i="2" s="1"/>
  <c r="F182" i="3"/>
  <c r="F318" i="3" s="1"/>
  <c r="T83" i="2" s="1"/>
  <c r="J182" i="3"/>
  <c r="J318" i="3" s="1"/>
  <c r="X83" i="2" s="1"/>
  <c r="M182" i="3"/>
  <c r="M318" i="3" s="1"/>
  <c r="AA83" i="2" s="1"/>
  <c r="I182" i="3"/>
  <c r="I318" i="3" s="1"/>
  <c r="W83" i="2" s="1"/>
  <c r="E182" i="3"/>
  <c r="E318" i="3" s="1"/>
  <c r="S83" i="2" s="1"/>
  <c r="D182" i="3"/>
  <c r="D318" i="3" s="1"/>
  <c r="R83" i="2" s="1"/>
  <c r="C182" i="3"/>
  <c r="C318" i="3" s="1"/>
  <c r="N182" i="3"/>
  <c r="N318" i="3" s="1"/>
  <c r="AB83" i="2" s="1"/>
  <c r="K182" i="3"/>
  <c r="K318" i="3" s="1"/>
  <c r="Y83" i="2" s="1"/>
  <c r="L182" i="3"/>
  <c r="L318" i="3" s="1"/>
  <c r="Z83" i="2" s="1"/>
  <c r="L152" i="3"/>
  <c r="L288" i="3" s="1"/>
  <c r="Z54" i="2" s="1"/>
  <c r="M152" i="3"/>
  <c r="M288" i="3" s="1"/>
  <c r="AA54" i="2" s="1"/>
  <c r="K152" i="3"/>
  <c r="K288" i="3" s="1"/>
  <c r="Y54" i="2" s="1"/>
  <c r="J152" i="3"/>
  <c r="J288" i="3" s="1"/>
  <c r="X54" i="2" s="1"/>
  <c r="I152" i="3"/>
  <c r="I288" i="3" s="1"/>
  <c r="W54" i="2" s="1"/>
  <c r="H152" i="3"/>
  <c r="H288" i="3" s="1"/>
  <c r="V54" i="2" s="1"/>
  <c r="G152" i="3"/>
  <c r="G288" i="3" s="1"/>
  <c r="U54" i="2" s="1"/>
  <c r="F152" i="3"/>
  <c r="F288" i="3" s="1"/>
  <c r="T54" i="2" s="1"/>
  <c r="D152" i="3"/>
  <c r="D288" i="3" s="1"/>
  <c r="R54" i="2" s="1"/>
  <c r="E152" i="3"/>
  <c r="E288" i="3" s="1"/>
  <c r="S54" i="2" s="1"/>
  <c r="C152" i="3"/>
  <c r="C288" i="3" s="1"/>
  <c r="N152" i="3"/>
  <c r="N288" i="3" s="1"/>
  <c r="AB54" i="2" s="1"/>
  <c r="K54" i="2"/>
  <c r="N54" i="2"/>
  <c r="AL54" i="2" s="1"/>
  <c r="L54" i="2"/>
  <c r="H54" i="2"/>
  <c r="M54" i="2"/>
  <c r="O54" i="2"/>
  <c r="J54" i="2"/>
  <c r="P54" i="2"/>
  <c r="I54" i="2"/>
  <c r="N83" i="2"/>
  <c r="H83" i="2"/>
  <c r="P83" i="2"/>
  <c r="O83" i="2"/>
  <c r="I83" i="2"/>
  <c r="J83" i="2"/>
  <c r="K83" i="2"/>
  <c r="L83" i="2"/>
  <c r="C386" i="3"/>
  <c r="B386" i="3"/>
  <c r="A386" i="3"/>
  <c r="C356" i="3"/>
  <c r="B356" i="3"/>
  <c r="A356" i="3"/>
  <c r="M83" i="2"/>
  <c r="A249" i="3"/>
  <c r="A219" i="3"/>
  <c r="A385" i="3"/>
  <c r="A355" i="3"/>
  <c r="A248" i="3"/>
  <c r="A218" i="3"/>
  <c r="B112" i="3"/>
  <c r="B385" i="3" s="1"/>
  <c r="A112" i="3"/>
  <c r="B82" i="3"/>
  <c r="A82" i="3"/>
  <c r="B45" i="3"/>
  <c r="C355" i="3"/>
  <c r="AF83" i="2" l="1"/>
  <c r="AG54" i="2"/>
  <c r="AG83" i="2"/>
  <c r="AM54" i="2"/>
  <c r="AJ83" i="2"/>
  <c r="AK54" i="2"/>
  <c r="AK83" i="2"/>
  <c r="AJ54" i="2"/>
  <c r="AI83" i="2"/>
  <c r="AN83" i="2"/>
  <c r="AM83" i="2"/>
  <c r="AF54" i="2"/>
  <c r="AH54" i="2"/>
  <c r="AI54" i="2"/>
  <c r="B288" i="3"/>
  <c r="E356" i="3" s="1"/>
  <c r="H356" i="3" s="1"/>
  <c r="Q54" i="2"/>
  <c r="Q83" i="2"/>
  <c r="B318" i="3"/>
  <c r="E386" i="3" s="1"/>
  <c r="H386" i="3" s="1"/>
  <c r="AN54" i="2"/>
  <c r="AL83" i="2"/>
  <c r="H181" i="3"/>
  <c r="H317" i="3" s="1"/>
  <c r="V82" i="2" s="1"/>
  <c r="I181" i="3"/>
  <c r="I317" i="3" s="1"/>
  <c r="W82" i="2" s="1"/>
  <c r="G181" i="3"/>
  <c r="G317" i="3" s="1"/>
  <c r="U82" i="2" s="1"/>
  <c r="F181" i="3"/>
  <c r="F317" i="3" s="1"/>
  <c r="T82" i="2" s="1"/>
  <c r="K181" i="3"/>
  <c r="K317" i="3" s="1"/>
  <c r="Y82" i="2" s="1"/>
  <c r="E181" i="3"/>
  <c r="E317" i="3" s="1"/>
  <c r="S82" i="2" s="1"/>
  <c r="C181" i="3"/>
  <c r="C317" i="3" s="1"/>
  <c r="D181" i="3"/>
  <c r="D317" i="3" s="1"/>
  <c r="R82" i="2" s="1"/>
  <c r="N181" i="3"/>
  <c r="N317" i="3" s="1"/>
  <c r="AB82" i="2" s="1"/>
  <c r="J181" i="3"/>
  <c r="J317" i="3" s="1"/>
  <c r="X82" i="2" s="1"/>
  <c r="M181" i="3"/>
  <c r="M317" i="3" s="1"/>
  <c r="AA82" i="2" s="1"/>
  <c r="L181" i="3"/>
  <c r="L317" i="3" s="1"/>
  <c r="Z82" i="2" s="1"/>
  <c r="AH83" i="2"/>
  <c r="L151" i="3"/>
  <c r="L287" i="3" s="1"/>
  <c r="Z53" i="2" s="1"/>
  <c r="K151" i="3"/>
  <c r="K287" i="3" s="1"/>
  <c r="Y53" i="2" s="1"/>
  <c r="J151" i="3"/>
  <c r="J287" i="3" s="1"/>
  <c r="X53" i="2" s="1"/>
  <c r="I151" i="3"/>
  <c r="I287" i="3" s="1"/>
  <c r="W53" i="2" s="1"/>
  <c r="E151" i="3"/>
  <c r="E287" i="3" s="1"/>
  <c r="S53" i="2" s="1"/>
  <c r="H151" i="3"/>
  <c r="H287" i="3" s="1"/>
  <c r="V53" i="2" s="1"/>
  <c r="D151" i="3"/>
  <c r="D287" i="3" s="1"/>
  <c r="R53" i="2" s="1"/>
  <c r="G151" i="3"/>
  <c r="G287" i="3" s="1"/>
  <c r="U53" i="2" s="1"/>
  <c r="F151" i="3"/>
  <c r="F287" i="3" s="1"/>
  <c r="T53" i="2" s="1"/>
  <c r="M151" i="3"/>
  <c r="M287" i="3" s="1"/>
  <c r="AA53" i="2" s="1"/>
  <c r="C151" i="3"/>
  <c r="C287" i="3" s="1"/>
  <c r="N151" i="3"/>
  <c r="N287" i="3" s="1"/>
  <c r="AB53" i="2" s="1"/>
  <c r="G83" i="2"/>
  <c r="AE83" i="2" s="1"/>
  <c r="E83" i="2"/>
  <c r="F83" i="2"/>
  <c r="AD83" i="2" s="1"/>
  <c r="G54" i="2"/>
  <c r="AE54" i="2" s="1"/>
  <c r="F54" i="2"/>
  <c r="AD54" i="2" s="1"/>
  <c r="M53" i="2"/>
  <c r="L53" i="2"/>
  <c r="J82" i="2"/>
  <c r="H53" i="2"/>
  <c r="P82" i="2"/>
  <c r="O53" i="2"/>
  <c r="P53" i="2"/>
  <c r="H82" i="2"/>
  <c r="N53" i="2"/>
  <c r="I82" i="2"/>
  <c r="C385" i="3"/>
  <c r="L82" i="2"/>
  <c r="B355" i="3"/>
  <c r="I53" i="2"/>
  <c r="J53" i="2"/>
  <c r="M82" i="2"/>
  <c r="K82" i="2"/>
  <c r="K53" i="2"/>
  <c r="N82" i="2"/>
  <c r="O82" i="2"/>
  <c r="D81" i="2"/>
  <c r="D80" i="2"/>
  <c r="D79" i="2"/>
  <c r="D78" i="2"/>
  <c r="D52" i="2"/>
  <c r="D51" i="2"/>
  <c r="D50" i="2"/>
  <c r="D49" i="2"/>
  <c r="D48" i="2"/>
  <c r="D47" i="2"/>
  <c r="A384" i="3"/>
  <c r="A383" i="3"/>
  <c r="A382" i="3"/>
  <c r="A381" i="3"/>
  <c r="A354" i="3"/>
  <c r="A353" i="3"/>
  <c r="A352" i="3"/>
  <c r="A351" i="3"/>
  <c r="A350" i="3"/>
  <c r="A349" i="3"/>
  <c r="A247" i="3"/>
  <c r="A246" i="3"/>
  <c r="A245" i="3"/>
  <c r="A244" i="3"/>
  <c r="A217" i="3"/>
  <c r="A216" i="3"/>
  <c r="A215" i="3"/>
  <c r="A214" i="3"/>
  <c r="A213" i="3"/>
  <c r="A212" i="3"/>
  <c r="A177" i="3"/>
  <c r="A145" i="3"/>
  <c r="A81" i="3"/>
  <c r="A80" i="3"/>
  <c r="A79" i="3"/>
  <c r="A78" i="3"/>
  <c r="A77" i="3"/>
  <c r="A76" i="3"/>
  <c r="A111" i="3"/>
  <c r="A110" i="3"/>
  <c r="A109" i="3"/>
  <c r="A108" i="3"/>
  <c r="AM53" i="2" l="1"/>
  <c r="AL82" i="2"/>
  <c r="AH53" i="2"/>
  <c r="AN82" i="2"/>
  <c r="AC83" i="2"/>
  <c r="AF53" i="2"/>
  <c r="AM82" i="2"/>
  <c r="AI82" i="2"/>
  <c r="AN53" i="2"/>
  <c r="AG53" i="2"/>
  <c r="AL53" i="2"/>
  <c r="AJ82" i="2"/>
  <c r="AG82" i="2"/>
  <c r="AF82" i="2"/>
  <c r="AI53" i="2"/>
  <c r="B287" i="3"/>
  <c r="E355" i="3" s="1"/>
  <c r="H355" i="3" s="1"/>
  <c r="Q53" i="2"/>
  <c r="AK82" i="2"/>
  <c r="AJ53" i="2"/>
  <c r="AK53" i="2"/>
  <c r="B317" i="3"/>
  <c r="E385" i="3" s="1"/>
  <c r="H385" i="3" s="1"/>
  <c r="Q82" i="2"/>
  <c r="AH82" i="2"/>
  <c r="B249" i="3"/>
  <c r="D386" i="3" s="1"/>
  <c r="F386" i="3" s="1"/>
  <c r="B219" i="3"/>
  <c r="D356" i="3" s="1"/>
  <c r="F356" i="3" s="1"/>
  <c r="F82" i="2"/>
  <c r="AD82" i="2" s="1"/>
  <c r="E82" i="2"/>
  <c r="E54" i="2"/>
  <c r="AC54" i="2" s="1"/>
  <c r="G53" i="2"/>
  <c r="AE53" i="2" s="1"/>
  <c r="F53" i="2"/>
  <c r="AD53" i="2" s="1"/>
  <c r="G82" i="2"/>
  <c r="AE82" i="2" s="1"/>
  <c r="AC82" i="2" l="1"/>
  <c r="B248" i="3"/>
  <c r="D385" i="3" s="1"/>
  <c r="F385" i="3" s="1"/>
  <c r="B218" i="3"/>
  <c r="D355" i="3" s="1"/>
  <c r="F355" i="3" s="1"/>
  <c r="E53" i="2"/>
  <c r="AC53" i="2" s="1"/>
  <c r="H210" i="3"/>
  <c r="G210" i="3"/>
  <c r="F210" i="3"/>
  <c r="E210" i="3"/>
  <c r="D210" i="3"/>
  <c r="C210" i="3"/>
  <c r="B207" i="3"/>
  <c r="N138" i="3"/>
  <c r="M138" i="3"/>
  <c r="L138" i="3"/>
  <c r="K138" i="3"/>
  <c r="J138" i="3"/>
  <c r="I138" i="3"/>
  <c r="H138" i="3"/>
  <c r="G138" i="3"/>
  <c r="F138" i="3"/>
  <c r="E138" i="3"/>
  <c r="D138" i="3"/>
  <c r="C138" i="3"/>
  <c r="B111" i="3"/>
  <c r="B384" i="3" s="1"/>
  <c r="B110" i="3"/>
  <c r="B383" i="3" s="1"/>
  <c r="B109" i="3"/>
  <c r="B382" i="3" s="1"/>
  <c r="B108" i="3"/>
  <c r="B381" i="3" s="1"/>
  <c r="B44" i="3"/>
  <c r="B43" i="3"/>
  <c r="B41" i="3"/>
  <c r="B81" i="3"/>
  <c r="B79" i="3"/>
  <c r="B78" i="3"/>
  <c r="E106" i="3"/>
  <c r="B77" i="3"/>
  <c r="I106" i="3"/>
  <c r="B76" i="3"/>
  <c r="B349" i="3" s="1"/>
  <c r="N39" i="3"/>
  <c r="K39" i="3"/>
  <c r="I39" i="3"/>
  <c r="H39" i="3"/>
  <c r="J39" i="3"/>
  <c r="F39" i="3"/>
  <c r="B175" i="3"/>
  <c r="N210" i="3"/>
  <c r="M210" i="3"/>
  <c r="L210" i="3"/>
  <c r="K210" i="3"/>
  <c r="J210" i="3"/>
  <c r="I210" i="3"/>
  <c r="B210" i="3"/>
  <c r="B347" i="3"/>
  <c r="C347" i="3"/>
  <c r="B80" i="3"/>
  <c r="N106" i="3"/>
  <c r="M106" i="3"/>
  <c r="L106" i="3"/>
  <c r="K106" i="3"/>
  <c r="J106" i="3"/>
  <c r="H106" i="3"/>
  <c r="F106" i="3"/>
  <c r="D106" i="3"/>
  <c r="M39" i="3"/>
  <c r="L39" i="3"/>
  <c r="E39" i="3"/>
  <c r="D347" i="3" l="1"/>
  <c r="I179" i="3"/>
  <c r="I315" i="3" s="1"/>
  <c r="H179" i="3"/>
  <c r="H315" i="3" s="1"/>
  <c r="J179" i="3"/>
  <c r="J315" i="3" s="1"/>
  <c r="G179" i="3"/>
  <c r="G315" i="3" s="1"/>
  <c r="F179" i="3"/>
  <c r="F315" i="3" s="1"/>
  <c r="E179" i="3"/>
  <c r="E315" i="3" s="1"/>
  <c r="C179" i="3"/>
  <c r="C315" i="3" s="1"/>
  <c r="K179" i="3"/>
  <c r="K315" i="3" s="1"/>
  <c r="D179" i="3"/>
  <c r="D315" i="3" s="1"/>
  <c r="N179" i="3"/>
  <c r="N315" i="3" s="1"/>
  <c r="M179" i="3"/>
  <c r="M315" i="3" s="1"/>
  <c r="L179" i="3"/>
  <c r="L315" i="3" s="1"/>
  <c r="H180" i="3"/>
  <c r="H316" i="3" s="1"/>
  <c r="V81" i="2" s="1"/>
  <c r="G180" i="3"/>
  <c r="G316" i="3" s="1"/>
  <c r="U81" i="2" s="1"/>
  <c r="C180" i="3"/>
  <c r="C316" i="3" s="1"/>
  <c r="F180" i="3"/>
  <c r="F316" i="3" s="1"/>
  <c r="T81" i="2" s="1"/>
  <c r="E180" i="3"/>
  <c r="E316" i="3" s="1"/>
  <c r="S81" i="2" s="1"/>
  <c r="D180" i="3"/>
  <c r="D316" i="3" s="1"/>
  <c r="R81" i="2" s="1"/>
  <c r="J180" i="3"/>
  <c r="J316" i="3" s="1"/>
  <c r="X81" i="2" s="1"/>
  <c r="N180" i="3"/>
  <c r="N316" i="3" s="1"/>
  <c r="AB81" i="2" s="1"/>
  <c r="M180" i="3"/>
  <c r="M316" i="3" s="1"/>
  <c r="AA81" i="2" s="1"/>
  <c r="L180" i="3"/>
  <c r="L316" i="3" s="1"/>
  <c r="Z81" i="2" s="1"/>
  <c r="K180" i="3"/>
  <c r="K316" i="3" s="1"/>
  <c r="Y81" i="2" s="1"/>
  <c r="I180" i="3"/>
  <c r="I316" i="3" s="1"/>
  <c r="W81" i="2" s="1"/>
  <c r="B352" i="3"/>
  <c r="L148" i="3"/>
  <c r="L284" i="3" s="1"/>
  <c r="Z50" i="2" s="1"/>
  <c r="D148" i="3"/>
  <c r="D284" i="3" s="1"/>
  <c r="R50" i="2" s="1"/>
  <c r="C148" i="3"/>
  <c r="C284" i="3" s="1"/>
  <c r="K148" i="3"/>
  <c r="K284" i="3" s="1"/>
  <c r="Y50" i="2" s="1"/>
  <c r="J148" i="3"/>
  <c r="J284" i="3" s="1"/>
  <c r="X50" i="2" s="1"/>
  <c r="I148" i="3"/>
  <c r="I284" i="3" s="1"/>
  <c r="W50" i="2" s="1"/>
  <c r="M148" i="3"/>
  <c r="M284" i="3" s="1"/>
  <c r="AA50" i="2" s="1"/>
  <c r="H148" i="3"/>
  <c r="H284" i="3" s="1"/>
  <c r="V50" i="2" s="1"/>
  <c r="G148" i="3"/>
  <c r="G284" i="3" s="1"/>
  <c r="U50" i="2" s="1"/>
  <c r="F148" i="3"/>
  <c r="F284" i="3" s="1"/>
  <c r="T50" i="2" s="1"/>
  <c r="N148" i="3"/>
  <c r="N284" i="3" s="1"/>
  <c r="AB50" i="2" s="1"/>
  <c r="E148" i="3"/>
  <c r="E284" i="3" s="1"/>
  <c r="S50" i="2" s="1"/>
  <c r="B350" i="3"/>
  <c r="L146" i="3"/>
  <c r="L282" i="3" s="1"/>
  <c r="Z48" i="2" s="1"/>
  <c r="K146" i="3"/>
  <c r="K282" i="3" s="1"/>
  <c r="Y48" i="2" s="1"/>
  <c r="I146" i="3"/>
  <c r="I282" i="3" s="1"/>
  <c r="W48" i="2" s="1"/>
  <c r="N146" i="3"/>
  <c r="N282" i="3" s="1"/>
  <c r="AB48" i="2" s="1"/>
  <c r="J146" i="3"/>
  <c r="J282" i="3" s="1"/>
  <c r="X48" i="2" s="1"/>
  <c r="M146" i="3"/>
  <c r="M282" i="3" s="1"/>
  <c r="AA48" i="2" s="1"/>
  <c r="E146" i="3"/>
  <c r="E282" i="3" s="1"/>
  <c r="S48" i="2" s="1"/>
  <c r="C146" i="3"/>
  <c r="C282" i="3" s="1"/>
  <c r="H146" i="3"/>
  <c r="H282" i="3" s="1"/>
  <c r="V48" i="2" s="1"/>
  <c r="G146" i="3"/>
  <c r="G282" i="3" s="1"/>
  <c r="U48" i="2" s="1"/>
  <c r="F146" i="3"/>
  <c r="F282" i="3" s="1"/>
  <c r="T48" i="2" s="1"/>
  <c r="D146" i="3"/>
  <c r="D282" i="3" s="1"/>
  <c r="R48" i="2" s="1"/>
  <c r="B351" i="3"/>
  <c r="L147" i="3"/>
  <c r="L283" i="3" s="1"/>
  <c r="Z49" i="2" s="1"/>
  <c r="K147" i="3"/>
  <c r="K283" i="3" s="1"/>
  <c r="Y49" i="2" s="1"/>
  <c r="J147" i="3"/>
  <c r="J283" i="3" s="1"/>
  <c r="X49" i="2" s="1"/>
  <c r="E147" i="3"/>
  <c r="E283" i="3" s="1"/>
  <c r="S49" i="2" s="1"/>
  <c r="N147" i="3"/>
  <c r="N283" i="3" s="1"/>
  <c r="AB49" i="2" s="1"/>
  <c r="I147" i="3"/>
  <c r="I283" i="3" s="1"/>
  <c r="W49" i="2" s="1"/>
  <c r="H147" i="3"/>
  <c r="H283" i="3" s="1"/>
  <c r="V49" i="2" s="1"/>
  <c r="G147" i="3"/>
  <c r="G283" i="3" s="1"/>
  <c r="U49" i="2" s="1"/>
  <c r="C147" i="3"/>
  <c r="C283" i="3" s="1"/>
  <c r="F147" i="3"/>
  <c r="F283" i="3" s="1"/>
  <c r="T49" i="2" s="1"/>
  <c r="D147" i="3"/>
  <c r="D283" i="3" s="1"/>
  <c r="R49" i="2" s="1"/>
  <c r="M147" i="3"/>
  <c r="M283" i="3" s="1"/>
  <c r="AA49" i="2" s="1"/>
  <c r="B353" i="3"/>
  <c r="L149" i="3"/>
  <c r="L285" i="3" s="1"/>
  <c r="Z51" i="2" s="1"/>
  <c r="K149" i="3"/>
  <c r="K285" i="3" s="1"/>
  <c r="Y51" i="2" s="1"/>
  <c r="J149" i="3"/>
  <c r="J285" i="3" s="1"/>
  <c r="X51" i="2" s="1"/>
  <c r="I149" i="3"/>
  <c r="I285" i="3" s="1"/>
  <c r="W51" i="2" s="1"/>
  <c r="D149" i="3"/>
  <c r="D285" i="3" s="1"/>
  <c r="R51" i="2" s="1"/>
  <c r="H149" i="3"/>
  <c r="H285" i="3" s="1"/>
  <c r="V51" i="2" s="1"/>
  <c r="G149" i="3"/>
  <c r="G285" i="3" s="1"/>
  <c r="U51" i="2" s="1"/>
  <c r="E149" i="3"/>
  <c r="E285" i="3" s="1"/>
  <c r="S51" i="2" s="1"/>
  <c r="F149" i="3"/>
  <c r="F285" i="3" s="1"/>
  <c r="T51" i="2" s="1"/>
  <c r="M149" i="3"/>
  <c r="M285" i="3" s="1"/>
  <c r="AA51" i="2" s="1"/>
  <c r="C149" i="3"/>
  <c r="C285" i="3" s="1"/>
  <c r="N149" i="3"/>
  <c r="N285" i="3" s="1"/>
  <c r="AB51" i="2" s="1"/>
  <c r="B354" i="3"/>
  <c r="L150" i="3"/>
  <c r="L286" i="3" s="1"/>
  <c r="Z52" i="2" s="1"/>
  <c r="D150" i="3"/>
  <c r="D286" i="3" s="1"/>
  <c r="R52" i="2" s="1"/>
  <c r="K150" i="3"/>
  <c r="K286" i="3" s="1"/>
  <c r="Y52" i="2" s="1"/>
  <c r="E150" i="3"/>
  <c r="E286" i="3" s="1"/>
  <c r="S52" i="2" s="1"/>
  <c r="J150" i="3"/>
  <c r="J286" i="3" s="1"/>
  <c r="X52" i="2" s="1"/>
  <c r="I150" i="3"/>
  <c r="I286" i="3" s="1"/>
  <c r="W52" i="2" s="1"/>
  <c r="H150" i="3"/>
  <c r="H286" i="3" s="1"/>
  <c r="V52" i="2" s="1"/>
  <c r="G150" i="3"/>
  <c r="G286" i="3" s="1"/>
  <c r="U52" i="2" s="1"/>
  <c r="F150" i="3"/>
  <c r="F286" i="3" s="1"/>
  <c r="T52" i="2" s="1"/>
  <c r="M150" i="3"/>
  <c r="M286" i="3" s="1"/>
  <c r="AA52" i="2" s="1"/>
  <c r="C150" i="3"/>
  <c r="C286" i="3" s="1"/>
  <c r="N150" i="3"/>
  <c r="N286" i="3" s="1"/>
  <c r="AB52" i="2" s="1"/>
  <c r="E46" i="2"/>
  <c r="F46" i="2"/>
  <c r="G46" i="2"/>
  <c r="L46" i="2"/>
  <c r="M46" i="2"/>
  <c r="N46" i="2"/>
  <c r="H46" i="2"/>
  <c r="K46" i="2"/>
  <c r="O46" i="2"/>
  <c r="I46" i="2"/>
  <c r="P46" i="2"/>
  <c r="J46" i="2"/>
  <c r="P52" i="2"/>
  <c r="P78" i="2"/>
  <c r="AN78" i="2" s="1"/>
  <c r="L81" i="2"/>
  <c r="B411" i="3"/>
  <c r="L49" i="2"/>
  <c r="AJ49" i="2" s="1"/>
  <c r="P80" i="2"/>
  <c r="L51" i="2"/>
  <c r="I80" i="2"/>
  <c r="C383" i="3"/>
  <c r="M81" i="2"/>
  <c r="C384" i="3"/>
  <c r="I78" i="2"/>
  <c r="AG78" i="2" s="1"/>
  <c r="C352" i="3"/>
  <c r="C351" i="3"/>
  <c r="C353" i="3"/>
  <c r="C354" i="3"/>
  <c r="I52" i="2"/>
  <c r="AG52" i="2" s="1"/>
  <c r="I50" i="2"/>
  <c r="C381" i="3"/>
  <c r="J50" i="2"/>
  <c r="J52" i="2"/>
  <c r="J80" i="2"/>
  <c r="N81" i="2"/>
  <c r="K50" i="2"/>
  <c r="K52" i="2"/>
  <c r="K80" i="2"/>
  <c r="O81" i="2"/>
  <c r="H49" i="2"/>
  <c r="AF49" i="2" s="1"/>
  <c r="L50" i="2"/>
  <c r="AJ50" i="2" s="1"/>
  <c r="H51" i="2"/>
  <c r="AF51" i="2" s="1"/>
  <c r="L52" i="2"/>
  <c r="L80" i="2"/>
  <c r="H81" i="2"/>
  <c r="P81" i="2"/>
  <c r="I49" i="2"/>
  <c r="I51" i="2"/>
  <c r="M52" i="2"/>
  <c r="M80" i="2"/>
  <c r="I81" i="2"/>
  <c r="AG81" i="2" s="1"/>
  <c r="J49" i="2"/>
  <c r="J51" i="2"/>
  <c r="N52" i="2"/>
  <c r="N80" i="2"/>
  <c r="J81" i="2"/>
  <c r="K49" i="2"/>
  <c r="K51" i="2"/>
  <c r="O52" i="2"/>
  <c r="AM52" i="2" s="1"/>
  <c r="O80" i="2"/>
  <c r="K81" i="2"/>
  <c r="H50" i="2"/>
  <c r="H52" i="2"/>
  <c r="AF52" i="2" s="1"/>
  <c r="H80" i="2"/>
  <c r="B138" i="3"/>
  <c r="D139" i="3"/>
  <c r="B208" i="3"/>
  <c r="M72" i="3"/>
  <c r="H139" i="3"/>
  <c r="J139" i="3"/>
  <c r="L139" i="3"/>
  <c r="N139" i="3"/>
  <c r="F139" i="3"/>
  <c r="K139" i="3"/>
  <c r="M139" i="3"/>
  <c r="E139" i="3"/>
  <c r="B42" i="3"/>
  <c r="E72" i="3"/>
  <c r="I72" i="3"/>
  <c r="L72" i="3"/>
  <c r="N72" i="3"/>
  <c r="F72" i="3"/>
  <c r="J72" i="3"/>
  <c r="C106" i="3"/>
  <c r="G106" i="3"/>
  <c r="D39" i="3"/>
  <c r="D72" i="3" s="1"/>
  <c r="G39" i="3"/>
  <c r="C350" i="3"/>
  <c r="C39" i="3"/>
  <c r="B9" i="3"/>
  <c r="C349" i="3" s="1"/>
  <c r="H72" i="3"/>
  <c r="B106" i="3"/>
  <c r="K72" i="3"/>
  <c r="I139" i="3"/>
  <c r="AI81" i="2" l="1"/>
  <c r="AH52" i="2"/>
  <c r="AN81" i="2"/>
  <c r="AL52" i="2"/>
  <c r="AG50" i="2"/>
  <c r="AM81" i="2"/>
  <c r="AJ81" i="2"/>
  <c r="AH51" i="2"/>
  <c r="AI50" i="2"/>
  <c r="AF81" i="2"/>
  <c r="AI49" i="2"/>
  <c r="AH50" i="2"/>
  <c r="AJ51" i="2"/>
  <c r="AK52" i="2"/>
  <c r="AI51" i="2"/>
  <c r="R80" i="2"/>
  <c r="D343" i="3"/>
  <c r="Y80" i="2"/>
  <c r="K343" i="3"/>
  <c r="AF50" i="2"/>
  <c r="AK80" i="2"/>
  <c r="Q80" i="2"/>
  <c r="B315" i="3"/>
  <c r="C343" i="3"/>
  <c r="AI52" i="2"/>
  <c r="AN52" i="2"/>
  <c r="S80" i="2"/>
  <c r="E343" i="3"/>
  <c r="AA80" i="2"/>
  <c r="AM80" i="2" s="1"/>
  <c r="M343" i="3"/>
  <c r="AH49" i="2"/>
  <c r="T80" i="2"/>
  <c r="AF80" i="2" s="1"/>
  <c r="F343" i="3"/>
  <c r="AG49" i="2"/>
  <c r="AL81" i="2"/>
  <c r="B286" i="3"/>
  <c r="E354" i="3" s="1"/>
  <c r="H354" i="3" s="1"/>
  <c r="Q52" i="2"/>
  <c r="Q50" i="2"/>
  <c r="B284" i="3"/>
  <c r="E352" i="3" s="1"/>
  <c r="H352" i="3" s="1"/>
  <c r="U80" i="2"/>
  <c r="AG80" i="2" s="1"/>
  <c r="G343" i="3"/>
  <c r="AK81" i="2"/>
  <c r="B285" i="3"/>
  <c r="E353" i="3" s="1"/>
  <c r="H353" i="3" s="1"/>
  <c r="Q51" i="2"/>
  <c r="Q81" i="2"/>
  <c r="B316" i="3"/>
  <c r="E384" i="3" s="1"/>
  <c r="H384" i="3" s="1"/>
  <c r="X80" i="2"/>
  <c r="AJ80" i="2" s="1"/>
  <c r="J343" i="3"/>
  <c r="AB80" i="2"/>
  <c r="AN80" i="2" s="1"/>
  <c r="N343" i="3"/>
  <c r="AG51" i="2"/>
  <c r="V80" i="2"/>
  <c r="AH80" i="2" s="1"/>
  <c r="H343" i="3"/>
  <c r="W80" i="2"/>
  <c r="AI80" i="2" s="1"/>
  <c r="I343" i="3"/>
  <c r="Q48" i="2"/>
  <c r="B282" i="3"/>
  <c r="E350" i="3" s="1"/>
  <c r="H350" i="3" s="1"/>
  <c r="AJ52" i="2"/>
  <c r="Q49" i="2"/>
  <c r="B283" i="3"/>
  <c r="E351" i="3" s="1"/>
  <c r="H351" i="3" s="1"/>
  <c r="Z80" i="2"/>
  <c r="AL80" i="2" s="1"/>
  <c r="L343" i="3"/>
  <c r="C382" i="3"/>
  <c r="C411" i="3" s="1"/>
  <c r="AH81" i="2"/>
  <c r="B379" i="3"/>
  <c r="B412" i="3" s="1"/>
  <c r="P49" i="2"/>
  <c r="AN49" i="2" s="1"/>
  <c r="M51" i="2"/>
  <c r="AK51" i="2" s="1"/>
  <c r="N51" i="2"/>
  <c r="AL51" i="2" s="1"/>
  <c r="M49" i="2"/>
  <c r="AK49" i="2" s="1"/>
  <c r="O50" i="2"/>
  <c r="AM50" i="2" s="1"/>
  <c r="O51" i="2"/>
  <c r="AM51" i="2" s="1"/>
  <c r="M50" i="2"/>
  <c r="AK50" i="2" s="1"/>
  <c r="P51" i="2"/>
  <c r="AN51" i="2" s="1"/>
  <c r="N49" i="2"/>
  <c r="AL49" i="2" s="1"/>
  <c r="N50" i="2"/>
  <c r="AL50" i="2" s="1"/>
  <c r="O49" i="2"/>
  <c r="AM49" i="2" s="1"/>
  <c r="P50" i="2"/>
  <c r="AN50" i="2" s="1"/>
  <c r="AB46" i="2"/>
  <c r="P40" i="2"/>
  <c r="U46" i="2"/>
  <c r="I40" i="2"/>
  <c r="AA46" i="2"/>
  <c r="O40" i="2"/>
  <c r="V46" i="2"/>
  <c r="J40" i="2"/>
  <c r="T46" i="2"/>
  <c r="H40" i="2"/>
  <c r="Z46" i="2"/>
  <c r="N40" i="2"/>
  <c r="W46" i="2"/>
  <c r="K40" i="2"/>
  <c r="Y46" i="2"/>
  <c r="M40" i="2"/>
  <c r="X46" i="2"/>
  <c r="L40" i="2"/>
  <c r="S46" i="2"/>
  <c r="G40" i="2"/>
  <c r="R46" i="2"/>
  <c r="F40" i="2"/>
  <c r="Q46" i="2"/>
  <c r="E40" i="2"/>
  <c r="G81" i="2"/>
  <c r="AE81" i="2" s="1"/>
  <c r="F81" i="2"/>
  <c r="AD81" i="2" s="1"/>
  <c r="G80" i="2"/>
  <c r="F51" i="2"/>
  <c r="AD51" i="2" s="1"/>
  <c r="G49" i="2"/>
  <c r="AE49" i="2" s="1"/>
  <c r="G52" i="2"/>
  <c r="AE52" i="2" s="1"/>
  <c r="G50" i="2"/>
  <c r="AE50" i="2" s="1"/>
  <c r="C379" i="3"/>
  <c r="E81" i="2"/>
  <c r="E80" i="2"/>
  <c r="E51" i="2"/>
  <c r="AC51" i="2" s="1"/>
  <c r="E52" i="2"/>
  <c r="E49" i="2"/>
  <c r="E50" i="2"/>
  <c r="M78" i="2"/>
  <c r="AK78" i="2" s="1"/>
  <c r="E78" i="2"/>
  <c r="AC78" i="2" s="1"/>
  <c r="B244" i="3"/>
  <c r="N78" i="2"/>
  <c r="AL78" i="2" s="1"/>
  <c r="F78" i="2"/>
  <c r="AD78" i="2" s="1"/>
  <c r="K78" i="2"/>
  <c r="AI78" i="2" s="1"/>
  <c r="J78" i="2"/>
  <c r="H78" i="2"/>
  <c r="AF78" i="2" s="1"/>
  <c r="O78" i="2"/>
  <c r="AM78" i="2" s="1"/>
  <c r="G78" i="2"/>
  <c r="AE78" i="2" s="1"/>
  <c r="L78" i="2"/>
  <c r="AJ78" i="2" s="1"/>
  <c r="B71" i="3"/>
  <c r="L79" i="2"/>
  <c r="AJ79" i="2" s="1"/>
  <c r="K79" i="2"/>
  <c r="AI79" i="2" s="1"/>
  <c r="J79" i="2"/>
  <c r="H79" i="2"/>
  <c r="AF79" i="2" s="1"/>
  <c r="N79" i="2"/>
  <c r="AL79" i="2" s="1"/>
  <c r="J145" i="3"/>
  <c r="I145" i="3"/>
  <c r="H145" i="3"/>
  <c r="C145" i="3"/>
  <c r="C281" i="3" s="1"/>
  <c r="G145" i="3"/>
  <c r="N145" i="3"/>
  <c r="N281" i="3" s="1"/>
  <c r="F145" i="3"/>
  <c r="M145" i="3"/>
  <c r="M281" i="3" s="1"/>
  <c r="E145" i="3"/>
  <c r="E281" i="3" s="1"/>
  <c r="L145" i="3"/>
  <c r="L281" i="3" s="1"/>
  <c r="D145" i="3"/>
  <c r="D281" i="3" s="1"/>
  <c r="K145" i="3"/>
  <c r="K281" i="3" s="1"/>
  <c r="G139" i="3"/>
  <c r="C139" i="3"/>
  <c r="G72" i="3"/>
  <c r="C72" i="3"/>
  <c r="B39" i="3"/>
  <c r="B139" i="3"/>
  <c r="AC49" i="2" l="1"/>
  <c r="AC50" i="2"/>
  <c r="AE80" i="2"/>
  <c r="AC80" i="2"/>
  <c r="AC81" i="2"/>
  <c r="H379" i="3"/>
  <c r="E383" i="3"/>
  <c r="H383" i="3" s="1"/>
  <c r="H411" i="3" s="1"/>
  <c r="B343" i="3"/>
  <c r="AB47" i="2"/>
  <c r="N311" i="3"/>
  <c r="N344" i="3" s="1"/>
  <c r="K47" i="2"/>
  <c r="I281" i="3"/>
  <c r="J47" i="2"/>
  <c r="H281" i="3"/>
  <c r="I47" i="2"/>
  <c r="G281" i="3"/>
  <c r="Q47" i="2"/>
  <c r="C311" i="3"/>
  <c r="C344" i="3" s="1"/>
  <c r="Z47" i="2"/>
  <c r="L311" i="3"/>
  <c r="L344" i="3" s="1"/>
  <c r="AC52" i="2"/>
  <c r="R47" i="2"/>
  <c r="D311" i="3"/>
  <c r="D344" i="3" s="1"/>
  <c r="L47" i="2"/>
  <c r="J281" i="3"/>
  <c r="AA47" i="2"/>
  <c r="M311" i="3"/>
  <c r="M344" i="3" s="1"/>
  <c r="Y47" i="2"/>
  <c r="K311" i="3"/>
  <c r="K344" i="3" s="1"/>
  <c r="S47" i="2"/>
  <c r="E311" i="3"/>
  <c r="E344" i="3" s="1"/>
  <c r="H47" i="2"/>
  <c r="F281" i="3"/>
  <c r="AH79" i="2"/>
  <c r="AH78" i="2"/>
  <c r="O47" i="2"/>
  <c r="P47" i="2"/>
  <c r="M47" i="2"/>
  <c r="N47" i="2"/>
  <c r="AD46" i="2"/>
  <c r="AD40" i="2" s="1"/>
  <c r="R40" i="2"/>
  <c r="AF46" i="2"/>
  <c r="AF40" i="2" s="1"/>
  <c r="T40" i="2"/>
  <c r="AL46" i="2"/>
  <c r="AL40" i="2" s="1"/>
  <c r="Z40" i="2"/>
  <c r="AE46" i="2"/>
  <c r="AE40" i="2" s="1"/>
  <c r="S40" i="2"/>
  <c r="AH46" i="2"/>
  <c r="AH40" i="2" s="1"/>
  <c r="V40" i="2"/>
  <c r="AJ46" i="2"/>
  <c r="AJ40" i="2" s="1"/>
  <c r="X40" i="2"/>
  <c r="AM46" i="2"/>
  <c r="AM40" i="2" s="1"/>
  <c r="AA40" i="2"/>
  <c r="AC46" i="2"/>
  <c r="AC40" i="2" s="1"/>
  <c r="Q40" i="2"/>
  <c r="AK46" i="2"/>
  <c r="AK40" i="2" s="1"/>
  <c r="Y40" i="2"/>
  <c r="AG46" i="2"/>
  <c r="AG40" i="2" s="1"/>
  <c r="U40" i="2"/>
  <c r="AI46" i="2"/>
  <c r="AI40" i="2" s="1"/>
  <c r="W40" i="2"/>
  <c r="AN46" i="2"/>
  <c r="AN40" i="2" s="1"/>
  <c r="AB40" i="2"/>
  <c r="AF108" i="2"/>
  <c r="AJ108" i="2"/>
  <c r="AI108" i="2"/>
  <c r="AL108" i="2"/>
  <c r="B247" i="3"/>
  <c r="D384" i="3" s="1"/>
  <c r="F384" i="3" s="1"/>
  <c r="B216" i="3"/>
  <c r="D353" i="3" s="1"/>
  <c r="F353" i="3" s="1"/>
  <c r="B217" i="3"/>
  <c r="D354" i="3" s="1"/>
  <c r="F354" i="3" s="1"/>
  <c r="B246" i="3"/>
  <c r="D383" i="3" s="1"/>
  <c r="B214" i="3"/>
  <c r="D351" i="3" s="1"/>
  <c r="F351" i="3" s="1"/>
  <c r="F80" i="2"/>
  <c r="AD80" i="2" s="1"/>
  <c r="B215" i="3"/>
  <c r="D352" i="3" s="1"/>
  <c r="F352" i="3" s="1"/>
  <c r="F50" i="2"/>
  <c r="AD50" i="2" s="1"/>
  <c r="F79" i="2"/>
  <c r="F52" i="2"/>
  <c r="AD52" i="2" s="1"/>
  <c r="F49" i="2"/>
  <c r="AD49" i="2" s="1"/>
  <c r="F47" i="2"/>
  <c r="G47" i="2"/>
  <c r="G51" i="2"/>
  <c r="AE51" i="2" s="1"/>
  <c r="T108" i="2"/>
  <c r="X108" i="2"/>
  <c r="W108" i="2"/>
  <c r="Z108" i="2"/>
  <c r="E47" i="2"/>
  <c r="AC47" i="2" s="1"/>
  <c r="C412" i="3"/>
  <c r="J207" i="3"/>
  <c r="I274" i="3"/>
  <c r="L175" i="3"/>
  <c r="E207" i="3"/>
  <c r="M207" i="3"/>
  <c r="F274" i="3"/>
  <c r="C207" i="3"/>
  <c r="I207" i="3"/>
  <c r="D207" i="3"/>
  <c r="F207" i="3"/>
  <c r="J274" i="3"/>
  <c r="H274" i="3"/>
  <c r="G207" i="3"/>
  <c r="H207" i="3"/>
  <c r="L274" i="3"/>
  <c r="N207" i="3"/>
  <c r="L207" i="3"/>
  <c r="K207" i="3"/>
  <c r="K48" i="2"/>
  <c r="AI48" i="2" s="1"/>
  <c r="I242" i="3"/>
  <c r="G175" i="3"/>
  <c r="L48" i="2"/>
  <c r="AJ48" i="2" s="1"/>
  <c r="J242" i="3"/>
  <c r="P48" i="2"/>
  <c r="AN48" i="2" s="1"/>
  <c r="N242" i="3"/>
  <c r="C242" i="3"/>
  <c r="E48" i="2"/>
  <c r="AC48" i="2" s="1"/>
  <c r="K175" i="3"/>
  <c r="N48" i="2"/>
  <c r="AL48" i="2" s="1"/>
  <c r="O48" i="2"/>
  <c r="AM48" i="2" s="1"/>
  <c r="F48" i="2"/>
  <c r="AD48" i="2" s="1"/>
  <c r="I175" i="3"/>
  <c r="J48" i="2"/>
  <c r="AH48" i="2" s="1"/>
  <c r="H242" i="3"/>
  <c r="G48" i="2"/>
  <c r="AE48" i="2" s="1"/>
  <c r="E242" i="3"/>
  <c r="H48" i="2"/>
  <c r="AF48" i="2" s="1"/>
  <c r="F242" i="3"/>
  <c r="L108" i="2"/>
  <c r="D381" i="3"/>
  <c r="F381" i="3" s="1"/>
  <c r="H108" i="2"/>
  <c r="J108" i="2"/>
  <c r="N108" i="2"/>
  <c r="B72" i="3"/>
  <c r="K108" i="2"/>
  <c r="E175" i="3"/>
  <c r="J175" i="3"/>
  <c r="M175" i="3"/>
  <c r="F175" i="3"/>
  <c r="N175" i="3"/>
  <c r="C175" i="3"/>
  <c r="D175" i="3"/>
  <c r="H175" i="3"/>
  <c r="AD47" i="2" l="1"/>
  <c r="AN47" i="2"/>
  <c r="AL47" i="2"/>
  <c r="H412" i="3"/>
  <c r="AM47" i="2"/>
  <c r="AE47" i="2"/>
  <c r="X47" i="2"/>
  <c r="AJ47" i="2" s="1"/>
  <c r="AJ77" i="2" s="1"/>
  <c r="AJ41" i="2" s="1"/>
  <c r="J311" i="3"/>
  <c r="J344" i="3" s="1"/>
  <c r="T47" i="2"/>
  <c r="AF47" i="2" s="1"/>
  <c r="AF77" i="2" s="1"/>
  <c r="AF41" i="2" s="1"/>
  <c r="F311" i="3"/>
  <c r="F344" i="3" s="1"/>
  <c r="W47" i="2"/>
  <c r="W77" i="2" s="1"/>
  <c r="W41" i="2" s="1"/>
  <c r="I311" i="3"/>
  <c r="I344" i="3" s="1"/>
  <c r="U47" i="2"/>
  <c r="AG47" i="2" s="1"/>
  <c r="G311" i="3"/>
  <c r="G344" i="3" s="1"/>
  <c r="V47" i="2"/>
  <c r="AH47" i="2" s="1"/>
  <c r="AH77" i="2" s="1"/>
  <c r="H311" i="3"/>
  <c r="H344" i="3" s="1"/>
  <c r="AK47" i="2"/>
  <c r="B281" i="3"/>
  <c r="F383" i="3"/>
  <c r="E411" i="3"/>
  <c r="AH108" i="2"/>
  <c r="V108" i="2"/>
  <c r="M242" i="3"/>
  <c r="L242" i="3"/>
  <c r="L275" i="3" s="1"/>
  <c r="AC77" i="2"/>
  <c r="Z77" i="2"/>
  <c r="Z41" i="2" s="1"/>
  <c r="AL77" i="2"/>
  <c r="AL41" i="2" s="1"/>
  <c r="AD77" i="2"/>
  <c r="AE77" i="2"/>
  <c r="AB77" i="2"/>
  <c r="AN77" i="2"/>
  <c r="AA77" i="2"/>
  <c r="AM77" i="2"/>
  <c r="D349" i="3"/>
  <c r="D242" i="3"/>
  <c r="D274" i="3"/>
  <c r="AD79" i="2"/>
  <c r="F108" i="2"/>
  <c r="R77" i="2"/>
  <c r="S77" i="2"/>
  <c r="K208" i="3"/>
  <c r="D208" i="3"/>
  <c r="N208" i="3"/>
  <c r="I208" i="3"/>
  <c r="J208" i="3"/>
  <c r="I275" i="3"/>
  <c r="F208" i="3"/>
  <c r="J275" i="3"/>
  <c r="L208" i="3"/>
  <c r="M208" i="3"/>
  <c r="G208" i="3"/>
  <c r="F275" i="3"/>
  <c r="E208" i="3"/>
  <c r="H275" i="3"/>
  <c r="H208" i="3"/>
  <c r="B245" i="3"/>
  <c r="E79" i="2"/>
  <c r="C274" i="3"/>
  <c r="C275" i="3" s="1"/>
  <c r="O79" i="2"/>
  <c r="AM79" i="2" s="1"/>
  <c r="M274" i="3"/>
  <c r="M79" i="2"/>
  <c r="K274" i="3"/>
  <c r="I79" i="2"/>
  <c r="AG79" i="2" s="1"/>
  <c r="G274" i="3"/>
  <c r="G79" i="2"/>
  <c r="AE79" i="2" s="1"/>
  <c r="E274" i="3"/>
  <c r="E275" i="3" s="1"/>
  <c r="P79" i="2"/>
  <c r="AN79" i="2" s="1"/>
  <c r="N274" i="3"/>
  <c r="N275" i="3" s="1"/>
  <c r="C208" i="3"/>
  <c r="N77" i="2"/>
  <c r="N41" i="2" s="1"/>
  <c r="F77" i="2"/>
  <c r="K242" i="3"/>
  <c r="M48" i="2"/>
  <c r="AK48" i="2" s="1"/>
  <c r="G77" i="2"/>
  <c r="O77" i="2"/>
  <c r="P77" i="2"/>
  <c r="L77" i="2"/>
  <c r="L41" i="2" s="1"/>
  <c r="J77" i="2"/>
  <c r="J41" i="2" s="1"/>
  <c r="Q77" i="2"/>
  <c r="E77" i="2"/>
  <c r="I48" i="2"/>
  <c r="AG48" i="2" s="1"/>
  <c r="G242" i="3"/>
  <c r="B213" i="3"/>
  <c r="H77" i="2"/>
  <c r="H41" i="2" s="1"/>
  <c r="K77" i="2"/>
  <c r="K41" i="2" s="1"/>
  <c r="AI47" i="2" l="1"/>
  <c r="AI77" i="2" s="1"/>
  <c r="AI41" i="2" s="1"/>
  <c r="X77" i="2"/>
  <c r="X41" i="2" s="1"/>
  <c r="V77" i="2"/>
  <c r="T77" i="2"/>
  <c r="T41" i="2" s="1"/>
  <c r="E349" i="3"/>
  <c r="B311" i="3"/>
  <c r="B344" i="3" s="1"/>
  <c r="AH41" i="2"/>
  <c r="V41" i="2"/>
  <c r="AK79" i="2"/>
  <c r="AK108" i="2" s="1"/>
  <c r="M275" i="3"/>
  <c r="M276" i="3" s="1"/>
  <c r="L276" i="3"/>
  <c r="F41" i="2"/>
  <c r="AC79" i="2"/>
  <c r="AC108" i="2" s="1"/>
  <c r="AC41" i="2" s="1"/>
  <c r="AC42" i="2" s="1"/>
  <c r="E276" i="3"/>
  <c r="C276" i="3"/>
  <c r="C277" i="3" s="1"/>
  <c r="F276" i="3"/>
  <c r="R108" i="2"/>
  <c r="R41" i="2" s="1"/>
  <c r="AD108" i="2"/>
  <c r="AD41" i="2" s="1"/>
  <c r="Y77" i="2"/>
  <c r="AK77" i="2"/>
  <c r="U108" i="2"/>
  <c r="AG108" i="2"/>
  <c r="U77" i="2"/>
  <c r="AG77" i="2"/>
  <c r="J276" i="3"/>
  <c r="S108" i="2"/>
  <c r="S41" i="2" s="1"/>
  <c r="AE108" i="2"/>
  <c r="AE41" i="2" s="1"/>
  <c r="AB108" i="2"/>
  <c r="AB41" i="2" s="1"/>
  <c r="AN108" i="2"/>
  <c r="AN41" i="2" s="1"/>
  <c r="H276" i="3"/>
  <c r="I276" i="3"/>
  <c r="AA108" i="2"/>
  <c r="AA41" i="2" s="1"/>
  <c r="AM108" i="2"/>
  <c r="AM41" i="2" s="1"/>
  <c r="N276" i="3"/>
  <c r="D275" i="3"/>
  <c r="D276" i="3" s="1"/>
  <c r="K275" i="3"/>
  <c r="K276" i="3" s="1"/>
  <c r="I108" i="2"/>
  <c r="P108" i="2"/>
  <c r="P41" i="2" s="1"/>
  <c r="Q108" i="2"/>
  <c r="Q41" i="2" s="1"/>
  <c r="E108" i="2"/>
  <c r="E111" i="2" s="1"/>
  <c r="E109" i="2" s="1"/>
  <c r="G275" i="3"/>
  <c r="G276" i="3" s="1"/>
  <c r="M108" i="2"/>
  <c r="G108" i="2"/>
  <c r="G41" i="2" s="1"/>
  <c r="D382" i="3"/>
  <c r="F382" i="3" s="1"/>
  <c r="B274" i="3"/>
  <c r="O108" i="2"/>
  <c r="O41" i="2" s="1"/>
  <c r="M77" i="2"/>
  <c r="I77" i="2"/>
  <c r="D350" i="3"/>
  <c r="F350" i="3" s="1"/>
  <c r="B242" i="3"/>
  <c r="F349" i="3" l="1"/>
  <c r="E379" i="3"/>
  <c r="E412" i="3" s="1"/>
  <c r="Y108" i="2"/>
  <c r="Y41" i="2" s="1"/>
  <c r="I41" i="2"/>
  <c r="E41" i="2"/>
  <c r="M41" i="2"/>
  <c r="AK41" i="2"/>
  <c r="AG41" i="2"/>
  <c r="U41" i="2"/>
  <c r="AD42" i="2"/>
  <c r="AE42" i="2" s="1"/>
  <c r="AF42" i="2" s="1"/>
  <c r="Q42" i="2"/>
  <c r="R42" i="2" s="1"/>
  <c r="S42" i="2" s="1"/>
  <c r="T42" i="2" s="1"/>
  <c r="D277" i="3"/>
  <c r="E277" i="3" s="1"/>
  <c r="F277" i="3" s="1"/>
  <c r="G277" i="3" s="1"/>
  <c r="H277" i="3" s="1"/>
  <c r="I277" i="3" s="1"/>
  <c r="J277" i="3" s="1"/>
  <c r="K277" i="3" s="1"/>
  <c r="L277" i="3" s="1"/>
  <c r="M277" i="3" s="1"/>
  <c r="N277" i="3" s="1"/>
  <c r="D411" i="3"/>
  <c r="F411" i="3" s="1"/>
  <c r="F111" i="2"/>
  <c r="F110" i="2" s="1"/>
  <c r="E110" i="2"/>
  <c r="B275" i="3"/>
  <c r="D379" i="3"/>
  <c r="F379" i="3" l="1"/>
  <c r="E42" i="2"/>
  <c r="F42" i="2" s="1"/>
  <c r="G42" i="2" s="1"/>
  <c r="H42" i="2" s="1"/>
  <c r="I42" i="2" s="1"/>
  <c r="J42" i="2" s="1"/>
  <c r="K42" i="2" s="1"/>
  <c r="L42" i="2" s="1"/>
  <c r="M42" i="2" s="1"/>
  <c r="N42" i="2" s="1"/>
  <c r="O42" i="2" s="1"/>
  <c r="P42" i="2" s="1"/>
  <c r="E43" i="2"/>
  <c r="F43" i="2" s="1"/>
  <c r="G43" i="2" s="1"/>
  <c r="H43" i="2" s="1"/>
  <c r="I43" i="2" s="1"/>
  <c r="J43" i="2" s="1"/>
  <c r="K43" i="2" s="1"/>
  <c r="L43" i="2" s="1"/>
  <c r="M43" i="2" s="1"/>
  <c r="N43" i="2" s="1"/>
  <c r="O43" i="2" s="1"/>
  <c r="P43" i="2" s="1"/>
  <c r="Q43" i="2" s="1"/>
  <c r="R43" i="2" s="1"/>
  <c r="S43" i="2" s="1"/>
  <c r="T43" i="2" s="1"/>
  <c r="U43" i="2" s="1"/>
  <c r="V43" i="2" s="1"/>
  <c r="W43" i="2" s="1"/>
  <c r="X43" i="2" s="1"/>
  <c r="Y43" i="2" s="1"/>
  <c r="Z43" i="2" s="1"/>
  <c r="AA43" i="2" s="1"/>
  <c r="AB43" i="2" s="1"/>
  <c r="AC43" i="2" s="1"/>
  <c r="AD43" i="2" s="1"/>
  <c r="AE43" i="2" s="1"/>
  <c r="AF43" i="2" s="1"/>
  <c r="AG43" i="2" s="1"/>
  <c r="AH43" i="2" s="1"/>
  <c r="AI43" i="2" s="1"/>
  <c r="AJ43" i="2" s="1"/>
  <c r="AK43" i="2" s="1"/>
  <c r="AL43" i="2" s="1"/>
  <c r="AM43" i="2" s="1"/>
  <c r="AN43" i="2" s="1"/>
  <c r="AG42" i="2"/>
  <c r="AH42" i="2" s="1"/>
  <c r="AI42" i="2" s="1"/>
  <c r="AJ42" i="2" s="1"/>
  <c r="AK42" i="2" s="1"/>
  <c r="AL42" i="2" s="1"/>
  <c r="AM42" i="2" s="1"/>
  <c r="AN42" i="2" s="1"/>
  <c r="U42" i="2"/>
  <c r="V42" i="2" s="1"/>
  <c r="W42" i="2" s="1"/>
  <c r="X42" i="2" s="1"/>
  <c r="Y42" i="2" s="1"/>
  <c r="Z42" i="2" s="1"/>
  <c r="AA42" i="2" s="1"/>
  <c r="AB42" i="2" s="1"/>
  <c r="F109" i="2"/>
  <c r="G111" i="2"/>
  <c r="D412" i="3"/>
  <c r="F412" i="3" s="1"/>
  <c r="H111" i="2" l="1"/>
  <c r="G110" i="2"/>
  <c r="G109" i="2"/>
  <c r="H110" i="2" l="1"/>
  <c r="H109" i="2"/>
  <c r="I111" i="2"/>
  <c r="I109" i="2" l="1"/>
  <c r="I110" i="2"/>
  <c r="J111" i="2"/>
  <c r="J110" i="2" l="1"/>
  <c r="K111" i="2"/>
  <c r="J109" i="2"/>
  <c r="K109" i="2" l="1"/>
  <c r="L111" i="2"/>
  <c r="K110" i="2"/>
  <c r="M111" i="2" l="1"/>
  <c r="L109" i="2"/>
  <c r="L110" i="2"/>
  <c r="M109" i="2" l="1"/>
  <c r="M110" i="2"/>
  <c r="N111" i="2"/>
  <c r="O111" i="2" l="1"/>
  <c r="N109" i="2"/>
  <c r="N110" i="2"/>
  <c r="P111" i="2" l="1"/>
  <c r="O109" i="2"/>
  <c r="O110" i="2"/>
  <c r="Q111" i="2" l="1"/>
  <c r="P109" i="2"/>
  <c r="P110" i="2"/>
  <c r="Q109" i="2" l="1"/>
  <c r="Q110" i="2"/>
  <c r="R111" i="2"/>
  <c r="R109" i="2" l="1"/>
  <c r="R110" i="2"/>
  <c r="S111" i="2"/>
  <c r="S109" i="2" l="1"/>
  <c r="S110" i="2"/>
  <c r="T111" i="2"/>
  <c r="T110" i="2" l="1"/>
  <c r="U111" i="2"/>
  <c r="T109" i="2"/>
  <c r="U109" i="2" l="1"/>
  <c r="V111" i="2"/>
  <c r="U110" i="2"/>
  <c r="W111" i="2" l="1"/>
  <c r="V110" i="2"/>
  <c r="V109" i="2"/>
  <c r="X111" i="2" l="1"/>
  <c r="W109" i="2"/>
  <c r="W110" i="2"/>
  <c r="Y111" i="2" l="1"/>
  <c r="X109" i="2"/>
  <c r="X110" i="2"/>
  <c r="Y109" i="2" l="1"/>
  <c r="Z111" i="2"/>
  <c r="Y110" i="2"/>
  <c r="Z109" i="2" l="1"/>
  <c r="Z110" i="2"/>
  <c r="AA111" i="2"/>
  <c r="AB111" i="2" s="1"/>
  <c r="AB109" i="2" l="1"/>
  <c r="AC111" i="2"/>
  <c r="AB110" i="2"/>
  <c r="AA109" i="2"/>
  <c r="AA110" i="2"/>
  <c r="AC109" i="2" l="1"/>
  <c r="AC110" i="2"/>
  <c r="AD111" i="2"/>
  <c r="AD109" i="2" l="1"/>
  <c r="AD110" i="2"/>
  <c r="AE111" i="2"/>
  <c r="AE109" i="2" l="1"/>
  <c r="AF111" i="2"/>
  <c r="AE110" i="2"/>
  <c r="AF110" i="2" l="1"/>
  <c r="AF109" i="2"/>
  <c r="AG111" i="2"/>
  <c r="AH111" i="2" l="1"/>
  <c r="AG110" i="2"/>
  <c r="AG109" i="2"/>
  <c r="AI111" i="2" l="1"/>
  <c r="AH110" i="2"/>
  <c r="AH109" i="2"/>
  <c r="AI109" i="2" l="1"/>
  <c r="AI110" i="2"/>
  <c r="AJ111" i="2"/>
  <c r="AJ109" i="2" l="1"/>
  <c r="AK111" i="2"/>
  <c r="AJ110" i="2"/>
  <c r="AL111" i="2" l="1"/>
  <c r="AK110" i="2"/>
  <c r="AK109" i="2"/>
  <c r="AM111" i="2" l="1"/>
  <c r="AL110" i="2"/>
  <c r="AL109" i="2"/>
  <c r="AN111" i="2" l="1"/>
  <c r="AM110" i="2"/>
  <c r="AM109" i="2"/>
  <c r="AN110" i="2" l="1"/>
  <c r="AN10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Swanson</author>
  </authors>
  <commentList>
    <comment ref="B2" authorId="0" shapeId="0" xr:uid="{00000000-0006-0000-0100-000001000000}">
      <text>
        <r>
          <rPr>
            <b/>
            <sz val="9"/>
            <color indexed="81"/>
            <rFont val="Tahoma"/>
            <family val="2"/>
          </rPr>
          <t>Click on cell for menu</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Swanson</author>
  </authors>
  <commentList>
    <comment ref="C46" authorId="0" shapeId="0" xr:uid="{00000000-0006-0000-0200-000001000000}">
      <text>
        <r>
          <rPr>
            <b/>
            <sz val="9"/>
            <color rgb="FF000000"/>
            <rFont val="Tahoma"/>
            <family val="2"/>
          </rPr>
          <t>Input in $ Thousands</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Swanson</author>
  </authors>
  <commentList>
    <comment ref="C48" authorId="0" shapeId="0" xr:uid="{87A1B618-6A79-408B-8F3E-9266A57310C7}">
      <text>
        <r>
          <rPr>
            <b/>
            <sz val="9"/>
            <color rgb="FF000000"/>
            <rFont val="Tahoma"/>
            <family val="2"/>
          </rPr>
          <t>Input in $ Thousands</t>
        </r>
        <r>
          <rPr>
            <sz val="9"/>
            <color rgb="FF000000"/>
            <rFont val="Tahoma"/>
            <family val="2"/>
          </rPr>
          <t xml:space="preserve">
</t>
        </r>
      </text>
    </comment>
  </commentList>
</comments>
</file>

<file path=xl/sharedStrings.xml><?xml version="1.0" encoding="utf-8"?>
<sst xmlns="http://schemas.openxmlformats.org/spreadsheetml/2006/main" count="829" uniqueCount="233">
  <si>
    <t>Cash Balance</t>
  </si>
  <si>
    <t>Cash Bal-Negative</t>
  </si>
  <si>
    <t>Cash Bal-Positive</t>
  </si>
  <si>
    <t>Outflows</t>
  </si>
  <si>
    <t>Inflows</t>
  </si>
  <si>
    <t>DATA INPUT WORKSHEET</t>
  </si>
  <si>
    <t>REVENUES (SOURCES):</t>
  </si>
  <si>
    <t>EXPENSES (USES):</t>
  </si>
  <si>
    <t xml:space="preserve">TOTAL SOURCES &gt; </t>
  </si>
  <si>
    <t xml:space="preserve">TOTAL USES &gt; </t>
  </si>
  <si>
    <t xml:space="preserve">NET &gt; </t>
  </si>
  <si>
    <t>NOTE: INPUT IN BLUE-SHADED CELLS ONLY</t>
  </si>
  <si>
    <t>AVG. RATE</t>
  </si>
  <si>
    <t>Starting Balance &gt;</t>
  </si>
  <si>
    <t>ACCOUNT GROUP</t>
  </si>
  <si>
    <t>ACCOUNT TYPE</t>
  </si>
  <si>
    <t>PRIMARY DRIVERS</t>
  </si>
  <si>
    <t>SECONDARY VARIABLES</t>
  </si>
  <si>
    <t>OTHER VARIABLES</t>
  </si>
  <si>
    <t>PROPERTY TAX</t>
  </si>
  <si>
    <t>GENERAL, TAX INCREMENT, SPECIAL PURPOSE</t>
  </si>
  <si>
    <t>ASSESSED VALUE (COMMERCIAL, RESIDENTIAL, OTHER), MILLAGE RATES, COLLECTION RATES</t>
  </si>
  <si>
    <t>NEW CONSTRUCTION, ANNEXATIONS, FORECLOSURES, AV APPEALS, MARKET VALUE, HOUSING PRICE INDEX</t>
  </si>
  <si>
    <t>POPULATION, NO. HOUSEHOLDS, NO. BUSINESSES, STATE GDP AND LOCAL ECONOMIC ACTIVITY</t>
  </si>
  <si>
    <t>SALES AND USE TAX</t>
  </si>
  <si>
    <t>GENERAL, PUBLIC SAFETY, TEMPORARY, SPECIAL PURPOSE</t>
  </si>
  <si>
    <t>SALES TAX RECEIPTS (BY BUSINESS CATEGORY), DIRECT SALES TAX RATE</t>
  </si>
  <si>
    <t>POPULATION (SEASONAL DAYTIME AND RESIDENTIAL), NO. HOUSEHOLDS, NO. BUSINESSES, STATE GDP AND LOCAL ECONOMIC ACTIVITY</t>
  </si>
  <si>
    <t>PERSONAL INCOME PER CAPITA, UNEMPLOYMENT RATE, INFLATION</t>
  </si>
  <si>
    <t>UTILITY USERS TAX AND FRANCHISE FEES</t>
  </si>
  <si>
    <t>ELECTRICITY, GAS, SEWER, WATER, TELECOMM, OTHER</t>
  </si>
  <si>
    <t>UTILITY CONSUMPTION/USE (ELECTRICITY, GAS, SEWER, WATER, TELEPHONE, ETC.), UUT RATE, FRANCHISE FEE (% RECEIPTS)</t>
  </si>
  <si>
    <t>COST OF ENERGY, WATER, OTHER DIRECT UTILITY COSTS; PERSONAL INCOME PER CAPITA, UNEMPLOYMENT RATE, INFLATION</t>
  </si>
  <si>
    <t>TRANSIENT OCCUPANCY TAX</t>
  </si>
  <si>
    <t>HOTEL/MOTEL TAX, SPECIAL PURPOSE</t>
  </si>
  <si>
    <t>HOTEL/MOTEL VACANCY RATES, ROOM/BED TAX RATES</t>
  </si>
  <si>
    <t>LICENSES AND PERMITS</t>
  </si>
  <si>
    <t>BUSINESS LICENSES, ANIMAL LICENSES, BUILDING PERMITS, DEVELOPER PERMITS AND FEES</t>
  </si>
  <si>
    <t>NO. PERMITS AND LICENSES ISSUED, LICENSE AND PERMIT FEES</t>
  </si>
  <si>
    <t>DEVELOPMENT ACTIVITY, PERSONAL INCOME PER CAPITA, UNEMPLOYMENT RATE, INFLATION</t>
  </si>
  <si>
    <t>FINES AND FORFEITURES</t>
  </si>
  <si>
    <t>TRAFFIC FINES, COURT FINES AND FORFEITURES</t>
  </si>
  <si>
    <t>NO. CITATIONS AND INFRACTIONS, FEES AND PENALTIES</t>
  </si>
  <si>
    <t>CHARGES FOR SERVICES</t>
  </si>
  <si>
    <t>UTILITY CHARGES, MUNICIPAL SERVICES (AIRPORT, PARKS AND RECREATION, GOLF, ETC.), INTERNAL SERVICE CHARGES</t>
  </si>
  <si>
    <t>SERVICE LEVEL AND FEE SCHEDULES</t>
  </si>
  <si>
    <t>DEMAND FOR SERVICES, DEVELOPMENT ACTIVITY, BUSINESS ACTIVITY, PERSONAL INCOME PER CAPITA, UNEMPLOYMENT RATE, INFLATION</t>
  </si>
  <si>
    <t>USE OF MONEY AND PROPERTY</t>
  </si>
  <si>
    <t>INTEREST INCOME, PUBLIC FACILITY LEASE AND RENTAL</t>
  </si>
  <si>
    <t>INVESTED CASH BALANCES AND YIELDS, RENTAL PROPERTY LEASE RATES</t>
  </si>
  <si>
    <t>PROJECTED SURPLUS/(DEFICIT), COST OF MONEY (FED AND BANK RATES), RENTAL MARKET ACTIVITY, VACANCY RATES</t>
  </si>
  <si>
    <t>PREVAILING ECONOMIC CONDITIONS, INFLATION</t>
  </si>
  <si>
    <t>INTERGOVERNMENTAL REVENUES</t>
  </si>
  <si>
    <t>FEDERAL, STATE AND LOCAL GRANT AND REVENUE-SHARING</t>
  </si>
  <si>
    <t>FEDERAL, STATE AND LOCAL GRANTS, REVENUE-SHARING AGREEMENTS</t>
  </si>
  <si>
    <t>NO. PROGRAM RECIPIENTS (MEDICAID, OTHER SUPPORT BENEFITS), LEGISLATIVE AND POLITICAL ACTIVITY</t>
  </si>
  <si>
    <t>POPULATION, NO. HOUSEHOLDS, NO. BUSINESSES, NATIONAL, STATE GDP AND LOCAL ECONOMIC ACTIVITY</t>
  </si>
  <si>
    <t>SALARIES AND WAGES</t>
  </si>
  <si>
    <t>REGULAR, PART-TIME, TEMPORARY AND SPECIAL WAGES</t>
  </si>
  <si>
    <t>NO. STAFF AND PERSONNEL, FULL-TIME, PART-TIME AND SPECIAL WAGES</t>
  </si>
  <si>
    <t>CONTRACTUAL COMMITMENTS (LABOR AGREEMENTS), APPROVED STAFF LEVELS</t>
  </si>
  <si>
    <t>LABOR MARKET RATES, UNEMPLOYMENT RATE</t>
  </si>
  <si>
    <t>PENSION AND RETIREMENT</t>
  </si>
  <si>
    <t>EMPLOYER AND EMPLOYEE RETIREMENT CONTRIBUTIONS AND PENSION ADMINISTRATION COSTS</t>
  </si>
  <si>
    <t>NO. STAFF, AVERAGE ANNUAL ER/EE PENSION CONTRIBUTION RATES</t>
  </si>
  <si>
    <t>PROJECTED PENSION PORTFOLIO YIELDS, UNFUNDED LIABILITIES</t>
  </si>
  <si>
    <t>HEALTHCARE AND OTHER BENEFITS</t>
  </si>
  <si>
    <t>MEDICAL/DENTAL/VISION INSURANCE PREMIUMS, FICA, MEDICARE, DISABILITY, WORKERS COMPENSATION, UNIFORM, AUTO AND OTHER ALLOWANCES</t>
  </si>
  <si>
    <t>NO. STAFF, AVERAGE ANNUAL HEALTHCARE AND LIFE PREMIUMS OR SELF-INSURED COST INCREASE; FICA/MEDICARE AND REGULATORY REQUIREMENTS RE. WORKERS COMP., ETC.</t>
  </si>
  <si>
    <t>MEDICAL COST TRENDS, CHANGE IN FICA/MEDICARE CONTRIBUTION, WORKERS COMP CHANGES</t>
  </si>
  <si>
    <t>CONTRACT AND PROFESSIONAL SERVICES</t>
  </si>
  <si>
    <t>OUTSOURCED SERVICES, EXPERT AND CONSULTING SERVICES, RECURRING SUPPORT SERVICES</t>
  </si>
  <si>
    <t>DEMAND FOR SERVICES, NO. STAFF, LEVEL OF OUTSOURCING, INFLATION</t>
  </si>
  <si>
    <t>SOURCING CONTRACTUAL TERMS</t>
  </si>
  <si>
    <t>MAINTENANCE AND REPAIR</t>
  </si>
  <si>
    <t>EQUIPMENT / FACILITIES / FLEET MAINTENANCE AND REPAIR</t>
  </si>
  <si>
    <t>MATERIALS AND SUPPLIES</t>
  </si>
  <si>
    <t>OFFICE SUPPLIES, SPECIAL MATERIALS, FUEL, CONSUMABLES, OTHER MATERIALS AND SUPPLIES</t>
  </si>
  <si>
    <t>CAPITAL PROJECTS</t>
  </si>
  <si>
    <t>CAPITAL IMPROVEMENT PROJECTS</t>
  </si>
  <si>
    <t>CAPITAL IMPROVEMENTS PROGRAM, MULTI-YEAR CIP</t>
  </si>
  <si>
    <t>AVAILABILITY OF DISCRETIONARY FUNDING, POLICY GOALS FOR CAPITAL INVESTMENT</t>
  </si>
  <si>
    <t>INFRASTRUCTURE REPAIR BACKLOG, GENERAL/MASTER PLAN REQUIREMENTS</t>
  </si>
  <si>
    <t>DEBT EXPENSE</t>
  </si>
  <si>
    <t>LONG-TERM / SHORT-TERM BONDS, NOTES, LEASES</t>
  </si>
  <si>
    <t>DEBT SCHEDULE (PRINCIPAL AND INTEREST PAYMENTS), BROKERS AND AGENTS FEES, DEFEASANCE FEES</t>
  </si>
  <si>
    <t>POLICY AND REGULATORY DEBT CONSTRAINTS</t>
  </si>
  <si>
    <t>PREVAILING ECONOMIC CONDITIONS, COST OF MONEY, INFLATION</t>
  </si>
  <si>
    <t>Revenue and Expenditure Forecasting Indicators</t>
  </si>
  <si>
    <t>Worksheet 2-Data Input and Assumptions</t>
  </si>
  <si>
    <t>Worksheet 3-Cash Flow Chart</t>
  </si>
  <si>
    <t>Questions and Feedback?</t>
  </si>
  <si>
    <t>JUN-2019</t>
  </si>
  <si>
    <t>FEB-2020</t>
  </si>
  <si>
    <t>MAR-2020</t>
  </si>
  <si>
    <t>APR-2020</t>
  </si>
  <si>
    <t>MAY-2020</t>
  </si>
  <si>
    <t>JUL-2020</t>
  </si>
  <si>
    <t>AUG-2020</t>
  </si>
  <si>
    <t>SEP-2020</t>
  </si>
  <si>
    <t>OCT-2020</t>
  </si>
  <si>
    <t>NOV-2020</t>
  </si>
  <si>
    <t>DEC-2020</t>
  </si>
  <si>
    <t>↓CLICK ON CELL↓</t>
  </si>
  <si>
    <r>
      <t xml:space="preserve">A detailed cash flow forecasting model will also include a more thorough analysis and projection of economic, operating, contractual and other factors impacting revenues and expenditures, such as capital programs, debt expense and other examples included in the reference chart on the </t>
    </r>
    <r>
      <rPr>
        <b/>
        <i/>
        <sz val="12"/>
        <rFont val="Arial"/>
        <family val="2"/>
      </rPr>
      <t>4-Forecast Indicators</t>
    </r>
    <r>
      <rPr>
        <sz val="12"/>
        <rFont val="Arial"/>
        <family val="2"/>
      </rPr>
      <t xml:space="preserve"> worksheet. For an example of a comprehensive Excel-based forecasting model, please see MuniCast.com</t>
    </r>
  </si>
  <si>
    <t>If you have any questions regarding the use of this model, or have suggestions for improving it, please contact Government Finance Research Group LLC at: municast@gmail.com</t>
  </si>
  <si>
    <t>SALARIES &amp; WAGES</t>
  </si>
  <si>
    <t>BENEFITS</t>
  </si>
  <si>
    <t>CAPITAL</t>
  </si>
  <si>
    <t>CONTRACTUAL SERVICES</t>
  </si>
  <si>
    <t>UTILITIES</t>
  </si>
  <si>
    <t>MAINTENANCE AND REPAIRS</t>
  </si>
  <si>
    <t>GRANTS</t>
  </si>
  <si>
    <t>ACTUAL</t>
  </si>
  <si>
    <t>TRANSFERS/OTHER</t>
  </si>
  <si>
    <t>ACTUAL CASH BALANCE ($000'S) &gt;</t>
  </si>
  <si>
    <t>Copyright 2004-2020, Government Finance Research Group LLC, www.MuniCast.com</t>
  </si>
  <si>
    <t>CUMULATIVE FY</t>
  </si>
  <si>
    <t>MONTHLY NET</t>
  </si>
  <si>
    <t>CUMULATIVE FORECAST</t>
  </si>
  <si>
    <t>SALES &amp; USE TAX</t>
  </si>
  <si>
    <t>FEES &amp; PERMITS</t>
  </si>
  <si>
    <t>BUSINESS LICENSE TAXES</t>
  </si>
  <si>
    <t>REIMBURSEMENTS</t>
  </si>
  <si>
    <t>USE OF MONEY &amp; PROPERTY</t>
  </si>
  <si>
    <t>INTRAGOVT SVC CHARGES</t>
  </si>
  <si>
    <t>INTERGOVT REVENUES</t>
  </si>
  <si>
    <t>FINES &amp; FORFEITURES</t>
  </si>
  <si>
    <t>TRANSIT TAX</t>
  </si>
  <si>
    <t>PARK</t>
  </si>
  <si>
    <t>LIBRARY</t>
  </si>
  <si>
    <t>MTGE/DEED/TAXES/FEES</t>
  </si>
  <si>
    <t>DEBT PYMTS</t>
  </si>
  <si>
    <t>TAX DISTRIBUTION PYMTS</t>
  </si>
  <si>
    <t>FISCAL DISPARITIES</t>
  </si>
  <si>
    <t>N O T E S</t>
  </si>
  <si>
    <t>FINANCING PROCEEDS</t>
  </si>
  <si>
    <t>OTHER NON-RECURRING SOURCES</t>
  </si>
  <si>
    <t>OTHER EXPENSES/USES</t>
  </si>
  <si>
    <t>To use this model, please follow the steps indicated in the following worksheets. Only input values in the light-blue shaded cells.</t>
  </si>
  <si>
    <t>&lt; NOTE: APPLIES PAY PERIOD FACTOR</t>
  </si>
  <si>
    <t>PAY PERIOD FACTOR &gt;</t>
  </si>
  <si>
    <t>&lt; SHOULD EQUAL TOTAL PAY PERIODS</t>
  </si>
  <si>
    <t>&lt; SHOULD EQUAL 1.000</t>
  </si>
  <si>
    <t>1.  SELECT ENDING FISCAL YEAR &gt;</t>
  </si>
  <si>
    <t xml:space="preserve">2.  INPUT FUND, FUNDS, OR OTHER &gt; </t>
  </si>
  <si>
    <t>GENERAL FUND</t>
  </si>
  <si>
    <t>Simplified Monthly Forecasting Model - Overview and Instructions</t>
  </si>
  <si>
    <t>Data Collection Tip:</t>
  </si>
  <si>
    <t>First Determine What is Being Modeled: Single or Multiple Funds, Pooled Cash or Other?</t>
  </si>
  <si>
    <t>Use Consistent Revenue and Expenditure Categories:</t>
  </si>
  <si>
    <t>Depending on your organization's fund accounting and cash management reporting, first determine whether you want to model an individual fund (Ex. General Fund), a consolidation of multiple funds, pooled cash balances, or other category. Be sure to input consistent "apples-to-apples" data relating to revenues, expenditures and beginning fund or cash balances.</t>
  </si>
  <si>
    <r>
      <rPr>
        <b/>
        <i/>
        <sz val="12"/>
        <rFont val="Arial"/>
        <family val="2"/>
      </rPr>
      <t>Step 1</t>
    </r>
    <r>
      <rPr>
        <b/>
        <sz val="12"/>
        <rFont val="Arial"/>
        <family val="2"/>
      </rPr>
      <t>:</t>
    </r>
    <r>
      <rPr>
        <sz val="12"/>
        <rFont val="Arial"/>
        <family val="2"/>
      </rPr>
      <t xml:space="preserve"> Select ending fiscal year in Cell B2 (Click on orange-shaded cell for FY menu)</t>
    </r>
  </si>
  <si>
    <r>
      <rPr>
        <b/>
        <i/>
        <sz val="12"/>
        <rFont val="Arial"/>
        <family val="2"/>
      </rPr>
      <t>Step 2</t>
    </r>
    <r>
      <rPr>
        <sz val="12"/>
        <rFont val="Arial"/>
        <family val="2"/>
      </rPr>
      <t>: Input Fund, Fund Group, Pooled Cash, etc. for revenues and expenditures to be modeled. (Label will appear on Cash Flow Chart.)</t>
    </r>
  </si>
  <si>
    <t>Recurring and Non-Recurring Revenues and Expenditures:</t>
  </si>
  <si>
    <t>IMPORTANT NOTE: Input only in light-blue shaded cells. Modification of formulas and cell contents elsewhere may corrupt the model.</t>
  </si>
  <si>
    <r>
      <t xml:space="preserve">Values from Worksheet </t>
    </r>
    <r>
      <rPr>
        <b/>
        <i/>
        <sz val="12"/>
        <rFont val="Arial"/>
        <family val="2"/>
      </rPr>
      <t>2-Data Input and Assumptions</t>
    </r>
    <r>
      <rPr>
        <sz val="12"/>
        <rFont val="Arial"/>
        <family val="2"/>
      </rPr>
      <t xml:space="preserve"> are illustrated in the chart. Input the starting cash, reserve or fund balance, in thousands of dollars, into Cell C46.</t>
    </r>
  </si>
  <si>
    <t>Before inputting data and assumptions into the model, first collect the revenue, expenditure and cash/fund balances data you will be entering. As this workbook format is designed to accommodate summary level financial data, before starting the data input process, you may want to first collect all required historic and current year data from your financial reporting system directly, or if more convenient, pull monthly data from existing financial reports covering the historic periods and current year budget.</t>
  </si>
  <si>
    <t>Where material, separate recurring from non-recurring revenues and expenditures by category. For example, various grants, financing proceeds and/or one-time revenue adjustments can be input under corresponding categories, separate from recurring items such as property and sales taxes, charges for  services, state-shared revenues, etc. Similarly under Expenditures, capital and debt expenses should be input in their respective categories when appropriate, as well as one-time expenditures and other uses and expenditure adjustments.</t>
  </si>
  <si>
    <t>5.  ENTER PAY PERIODS BY MONTH &gt;</t>
  </si>
  <si>
    <t>ESTIMATE</t>
  </si>
  <si>
    <t>&lt; INPUT ACTUAL OR ESTIMATE</t>
  </si>
  <si>
    <r>
      <t xml:space="preserve">The Simplified Excel-based Monthly Forecasting Model provides a simple tool for analyzing the net impact of major revenues, expenditures and corresponding balances projected over a 36-month period. As this is a simplified version of a detailed cash flow model, it only allows for input of starting cash, fund or reserve balances, and projects subsequent net balances based on 24 months of historic data for the initial 12-month period (the current year) and assumed annual rates of change for major revenue (Inflows) and expenditure (Outflows) groups for the subsequent 24 month period. </t>
    </r>
    <r>
      <rPr>
        <b/>
        <i/>
        <sz val="12"/>
        <rFont val="Arial"/>
        <family val="2"/>
      </rPr>
      <t>CAVEAT:</t>
    </r>
    <r>
      <rPr>
        <sz val="12"/>
        <rFont val="Arial"/>
        <family val="2"/>
      </rPr>
      <t xml:space="preserve"> This simplified model does not include input fields for changes to working capital, A/R and A/P cycles, adjustments for accruals, non-cash adjustments and other balance sheet-related items, and as such is not intended to be a replacement for a thorough cash flow analysis.</t>
    </r>
  </si>
  <si>
    <t>STEP 8 &gt;</t>
  </si>
  <si>
    <t>INSTRUCTIONS: FOLLOW STEPS 3 - 9 BELOW</t>
  </si>
  <si>
    <t>STEP 9: INPUT ANNUAL RATE OF CHANGE FOR FORECAST MONTHS 13 - 36 (SHOWN ON CASH FLOW CHART)</t>
  </si>
  <si>
    <t xml:space="preserve">BUDGET VS. ACTUAL &gt; </t>
  </si>
  <si>
    <t xml:space="preserve">CUMULATIVE &gt; </t>
  </si>
  <si>
    <t>STEPS 5 &amp; 6: INPUT CURRENT YEAR ANNUAL BUDGET OR ESTIMATE AND PAY-PERIODS BY MONTH; MONTHLY BUDGET VALUES AUTOMATICALLY CALCULATED BASED ON HISTORIC MONTHLY DATA</t>
  </si>
  <si>
    <t>STEP 3: INPUT REVENUE/EXPENSE CATEGORIES AND LAST FISCAL YEAR'S ACTUAL DATA</t>
  </si>
  <si>
    <t>STEP 4: INPUT PREVIOUS FISCAL YEAR'S ACTUAL DATA (PRIOR TO LAST FISCAL YEAR)</t>
  </si>
  <si>
    <t>STEP 7: IF APPLICABLE, ADJUST CURRENT FISCAL YEAR (MONTHS 1-12) VALUES FROM STEP 6 IN SHADED CELLS BELOW (NOTE: THESE VALUES WILL APPEAR IN THE FIRST 12 MONTHS OF THE CASH FLOW CHART)</t>
  </si>
  <si>
    <t>STEP 8: INPUT MONTHLY ESTIMATES FOR YEAR 2 OF THE FORECAST (NOTE: THESE VALUES WILL APPEAR IN MONTHS 13-24 OF THE CASH FLOW CHART)</t>
  </si>
  <si>
    <r>
      <t xml:space="preserve">To maintain a consistent revenue and expenditure reporting format across multiple periods, be sure to use consistent revenue and expenditure categories across historic, current and future periods indicated in Tab 2-Data Input 7 Assumptions worksheet. This worksheet is also formatted in a way where you will need to input revenue and expenditure categories only once in </t>
    </r>
    <r>
      <rPr>
        <b/>
        <sz val="12"/>
        <rFont val="Arial"/>
        <family val="2"/>
      </rPr>
      <t>Step 3</t>
    </r>
    <r>
      <rPr>
        <sz val="12"/>
        <rFont val="Arial"/>
        <family val="2"/>
      </rPr>
      <t>.</t>
    </r>
  </si>
  <si>
    <t>DONATIONS/CONTRIBS/ INV INCOME</t>
  </si>
  <si>
    <t>OTHER SOURCES / INV MATURITIES</t>
  </si>
  <si>
    <t xml:space="preserve">INVESTMENT PURCHASES </t>
  </si>
  <si>
    <t>OTHER SOURCES</t>
  </si>
  <si>
    <r>
      <t>Step 3</t>
    </r>
    <r>
      <rPr>
        <sz val="12"/>
        <rFont val="Arial"/>
        <family val="2"/>
      </rPr>
      <t>: Input actual monthly revenues and expenditures for the previous fiscal year in Rows 9 – 70.</t>
    </r>
    <r>
      <rPr>
        <b/>
        <i/>
        <sz val="12"/>
        <rFont val="Arial"/>
        <family val="2"/>
      </rPr>
      <t xml:space="preserve"> NOTE: There are 30 input cells each for revenue and expenditure categories in Column B. These should be a sufficient number of categories for a summary level model. Leave unused rows blank - do not delete any rows or columns.</t>
    </r>
  </si>
  <si>
    <r>
      <t>Step 4</t>
    </r>
    <r>
      <rPr>
        <sz val="12"/>
        <rFont val="Arial"/>
        <family val="2"/>
      </rPr>
      <t>: Input actual monthly revenues and expenditures for the previous fiscal year in Rows 76 – 137.</t>
    </r>
  </si>
  <si>
    <r>
      <t>Step 5</t>
    </r>
    <r>
      <rPr>
        <sz val="12"/>
        <rFont val="Arial"/>
        <family val="2"/>
      </rPr>
      <t>: Input the number of pay periods, by month, for the current fiscal year, beginning in Cell C142. These will be used as the basis for allocating Salaries and Benefits by month for the current year baseline budget. Any required adjustments to these calculated allocations can be made in Step 8.</t>
    </r>
  </si>
  <si>
    <r>
      <t>Step 6</t>
    </r>
    <r>
      <rPr>
        <sz val="12"/>
        <rFont val="Arial"/>
        <family val="2"/>
      </rPr>
      <t>: Input the current fiscal year annual budget totals in Column B, Rows 145 – 206. Monthly values, except for Salaries and Benefits, will be automatically calculated based on averages from the preceeding two fiscal years of historic actual data.</t>
    </r>
  </si>
  <si>
    <r>
      <t>Step 7</t>
    </r>
    <r>
      <rPr>
        <sz val="12"/>
        <rFont val="Arial"/>
        <family val="2"/>
      </rPr>
      <t xml:space="preserve">: For the current fiscal year, monthly values from </t>
    </r>
    <r>
      <rPr>
        <b/>
        <i/>
        <sz val="12"/>
        <rFont val="Arial"/>
        <family val="2"/>
      </rPr>
      <t>Step 6</t>
    </r>
    <r>
      <rPr>
        <sz val="12"/>
        <rFont val="Arial"/>
        <family val="2"/>
      </rPr>
      <t xml:space="preserve"> are carried over into Rows 212 – 273. If any values need to be adjusted, over-write the formula, in the light-blue cells only, and input the adjusted values into the appropriate light-blue cell(s). As monthly actuals become available, input accordingly by month and make any required adjustments to the remaining months to update the total year-end estimate.</t>
    </r>
  </si>
  <si>
    <t>At the beginning of the current fiscal year, or 12-month period, the monthly values calculated in Step 7 can be used and/or modified as the beginning monthly estimates. Progressing into the current period, monthly actual revenues and expenditures should be entered in the corresponding cells for those months. Indicate whether the monthly value is 'Actual' or 'Estimate' in Rows 211 and 243.</t>
  </si>
  <si>
    <r>
      <t>Step 9</t>
    </r>
    <r>
      <rPr>
        <sz val="12"/>
        <rFont val="Arial"/>
        <family val="2"/>
      </rPr>
      <t>: To project monthly revenues and expenditures for the third fiscal year (Months 25-36), input the assumed annual rates of change for each major revenue and expenditure group in Column G, Rows 349 – 410</t>
    </r>
    <r>
      <rPr>
        <b/>
        <i/>
        <sz val="12"/>
        <rFont val="Arial"/>
        <family val="2"/>
      </rPr>
      <t>.</t>
    </r>
  </si>
  <si>
    <r>
      <t>Step 8</t>
    </r>
    <r>
      <rPr>
        <sz val="12"/>
        <rFont val="Arial"/>
        <family val="2"/>
      </rPr>
      <t>: Input monthly estimates for the second fiscal period (Months 13-24) in light-blue cells in Rows 281 - 342.</t>
    </r>
  </si>
  <si>
    <t>MAY-2021</t>
  </si>
  <si>
    <t>APR-2021</t>
  </si>
  <si>
    <t>JAN-2021</t>
  </si>
  <si>
    <t>FEB-2021</t>
  </si>
  <si>
    <t>MAR-2021</t>
  </si>
  <si>
    <t>JUN-2021</t>
  </si>
  <si>
    <t>JUL-2021</t>
  </si>
  <si>
    <t>AUG-2021</t>
  </si>
  <si>
    <t>SEP-2021</t>
  </si>
  <si>
    <t>OCT-2021</t>
  </si>
  <si>
    <t>NOV-2021</t>
  </si>
  <si>
    <t>DEC-2021</t>
  </si>
  <si>
    <t>MONTHLY FORECAST - GENERAL FUND</t>
  </si>
  <si>
    <t>&lt; INPUT FUND, FUND GROUP OR OTHER</t>
  </si>
  <si>
    <t>&lt; INPUT CURRENT FISCAL YEAR</t>
  </si>
  <si>
    <t>NOTE: INPUT REVENUE AND EXPENDITURE GROUPS BELOW; INPUT MONTHLY REVENUES, EXPENDITURES IN LIGHT BLUE CELLS</t>
  </si>
  <si>
    <t>ACTUAL BALANCE ($000'S) &gt;</t>
  </si>
  <si>
    <t>JAN-2022</t>
  </si>
  <si>
    <t>FEB-2022</t>
  </si>
  <si>
    <t>MAR-2022</t>
  </si>
  <si>
    <t>APR-2022</t>
  </si>
  <si>
    <t>MAY-2022</t>
  </si>
  <si>
    <t>JUN-2022</t>
  </si>
  <si>
    <t>JUL-2022</t>
  </si>
  <si>
    <t>AUG-2022</t>
  </si>
  <si>
    <t>SEP-2022</t>
  </si>
  <si>
    <t>OCT-2022</t>
  </si>
  <si>
    <t>NOV-2022</t>
  </si>
  <si>
    <t>DEC-2022</t>
  </si>
  <si>
    <t>OTHER NON-RECURRING USES</t>
  </si>
  <si>
    <t>Worksheet 4-Forecast Indicators</t>
  </si>
  <si>
    <t>This chart provides common examples of revenue and expenditure categories and associated indicators and factors that can influence their forecast.</t>
  </si>
  <si>
    <t>Worksheet 5-Standalone Chart</t>
  </si>
  <si>
    <t>This "Super Simple" interactive chart allows for direct inputting of dates and financial data to drive the chart on a standalone basis.</t>
  </si>
  <si>
    <t>JAN-2023</t>
  </si>
  <si>
    <t>FEB-2023</t>
  </si>
  <si>
    <t>MAR-2023</t>
  </si>
  <si>
    <t>APR-2023</t>
  </si>
  <si>
    <t>MAY-2023</t>
  </si>
  <si>
    <t>JUN-2023</t>
  </si>
  <si>
    <t>JUL-2023</t>
  </si>
  <si>
    <t>AUG-2023</t>
  </si>
  <si>
    <t>SEP-2023</t>
  </si>
  <si>
    <t>NOV-2023</t>
  </si>
  <si>
    <t>DEC-2023</t>
  </si>
  <si>
    <t>OCT-2023</t>
  </si>
  <si>
    <t>FOR FISCAL YEAR ENDING-JUN-2021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</si>
</sst>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 #,##0_);_(* \(#,##0\);_(* &quot;-&quot;?_);_(@_)"/>
    <numFmt numFmtId="168" formatCode="_(* #,##0.000_);_(* \(#,##0.000\);_(* &quot;-&quot;??_);_(@_)"/>
    <numFmt numFmtId="172" formatCode="mmm\-yyyy"/>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color indexed="8"/>
      <name val="Calibri"/>
      <family val="2"/>
    </font>
    <font>
      <b/>
      <i/>
      <sz val="12"/>
      <color theme="0"/>
      <name val="Calibri"/>
      <family val="2"/>
      <scheme val="minor"/>
    </font>
    <font>
      <b/>
      <i/>
      <sz val="12"/>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b/>
      <sz val="14"/>
      <color theme="0"/>
      <name val="Calibri"/>
      <family val="2"/>
      <scheme val="minor"/>
    </font>
    <font>
      <u/>
      <sz val="11"/>
      <color theme="10"/>
      <name val="Calibri"/>
      <family val="2"/>
      <scheme val="minor"/>
    </font>
    <font>
      <b/>
      <i/>
      <sz val="12"/>
      <name val="Calibri"/>
      <family val="2"/>
      <scheme val="minor"/>
    </font>
    <font>
      <b/>
      <sz val="12"/>
      <name val="Arial"/>
      <family val="2"/>
    </font>
    <font>
      <sz val="12"/>
      <name val="Arial"/>
      <family val="2"/>
    </font>
    <font>
      <b/>
      <i/>
      <sz val="12"/>
      <name val="Arial"/>
      <family val="2"/>
    </font>
    <font>
      <b/>
      <sz val="12"/>
      <color theme="0"/>
      <name val="Arial"/>
      <family val="2"/>
    </font>
    <font>
      <b/>
      <i/>
      <sz val="10"/>
      <name val="Arial"/>
      <family val="2"/>
    </font>
    <font>
      <b/>
      <sz val="8"/>
      <color theme="1"/>
      <name val="Calibri"/>
      <family val="2"/>
    </font>
    <font>
      <b/>
      <sz val="9"/>
      <color rgb="FF000000"/>
      <name val="Tahoma"/>
      <family val="2"/>
    </font>
    <font>
      <sz val="9"/>
      <color rgb="FF000000"/>
      <name val="Tahoma"/>
      <family val="2"/>
    </font>
    <font>
      <sz val="8"/>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0"/>
      <color rgb="FFFF0000"/>
      <name val="Calibri"/>
      <family val="2"/>
      <scheme val="minor"/>
    </font>
    <font>
      <i/>
      <sz val="11"/>
      <color theme="1"/>
      <name val="Calibri"/>
      <family val="2"/>
      <scheme val="minor"/>
    </font>
    <font>
      <b/>
      <i/>
      <u/>
      <sz val="12"/>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bgColor indexed="64"/>
      </patternFill>
    </fill>
    <fill>
      <patternFill patternType="solid">
        <fgColor rgb="FFFFC000"/>
        <bgColor indexed="64"/>
      </patternFill>
    </fill>
    <fill>
      <patternFill patternType="solid">
        <fgColor rgb="FF92D050"/>
        <bgColor indexed="64"/>
      </patternFill>
    </fill>
  </fills>
  <borders count="3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94">
    <xf numFmtId="0" fontId="0" fillId="0" borderId="0" xfId="0"/>
    <xf numFmtId="166" fontId="0" fillId="2" borderId="8" xfId="2" applyNumberFormat="1" applyFont="1" applyFill="1" applyBorder="1" applyAlignment="1" applyProtection="1">
      <alignment horizontal="center"/>
      <protection locked="0"/>
    </xf>
    <xf numFmtId="0" fontId="0" fillId="3" borderId="0" xfId="0" applyFill="1" applyProtection="1"/>
    <xf numFmtId="0" fontId="7" fillId="3" borderId="0" xfId="0" applyFont="1" applyFill="1" applyAlignment="1" applyProtection="1">
      <alignment horizontal="right"/>
    </xf>
    <xf numFmtId="0" fontId="0" fillId="0" borderId="0" xfId="0" applyProtection="1"/>
    <xf numFmtId="0" fontId="7" fillId="3" borderId="0" xfId="0" applyFont="1" applyFill="1" applyBorder="1" applyAlignment="1" applyProtection="1"/>
    <xf numFmtId="0" fontId="0" fillId="3" borderId="0" xfId="0" applyFill="1" applyBorder="1" applyAlignment="1" applyProtection="1"/>
    <xf numFmtId="0" fontId="0" fillId="3" borderId="0" xfId="0" applyFill="1" applyBorder="1" applyProtection="1"/>
    <xf numFmtId="164" fontId="0" fillId="0" borderId="0" xfId="0" applyNumberFormat="1" applyProtection="1"/>
    <xf numFmtId="0" fontId="4" fillId="0" borderId="0" xfId="0" applyFont="1" applyBorder="1" applyAlignment="1" applyProtection="1">
      <alignment horizontal="right"/>
    </xf>
    <xf numFmtId="0" fontId="4" fillId="0" borderId="0" xfId="0" applyFont="1" applyProtection="1"/>
    <xf numFmtId="0" fontId="4" fillId="0" borderId="0" xfId="0" applyFont="1" applyAlignment="1" applyProtection="1">
      <alignment horizontal="right"/>
    </xf>
    <xf numFmtId="0" fontId="0" fillId="0" borderId="0" xfId="0" applyBorder="1" applyProtection="1"/>
    <xf numFmtId="0" fontId="0" fillId="0" borderId="7" xfId="0" applyBorder="1" applyAlignment="1" applyProtection="1">
      <alignment horizontal="center"/>
    </xf>
    <xf numFmtId="0" fontId="0" fillId="0" borderId="6" xfId="0" applyBorder="1" applyAlignment="1" applyProtection="1">
      <alignment horizontal="center"/>
    </xf>
    <xf numFmtId="0" fontId="4" fillId="0" borderId="7" xfId="0" applyFont="1" applyBorder="1" applyAlignment="1" applyProtection="1">
      <alignment horizontal="right"/>
    </xf>
    <xf numFmtId="0" fontId="0" fillId="0" borderId="6" xfId="0" applyBorder="1" applyProtection="1"/>
    <xf numFmtId="0" fontId="0" fillId="0" borderId="6" xfId="0" applyBorder="1" applyAlignment="1" applyProtection="1">
      <alignment horizontal="right"/>
    </xf>
    <xf numFmtId="164" fontId="0" fillId="0" borderId="6" xfId="4" applyNumberFormat="1" applyFont="1" applyBorder="1" applyAlignment="1" applyProtection="1">
      <alignment horizontal="center"/>
    </xf>
    <xf numFmtId="0" fontId="4" fillId="0" borderId="5" xfId="0" applyFont="1" applyBorder="1" applyAlignment="1" applyProtection="1">
      <alignment horizontal="right"/>
    </xf>
    <xf numFmtId="0" fontId="0" fillId="0" borderId="0" xfId="0" applyBorder="1" applyAlignment="1" applyProtection="1">
      <alignment horizontal="right"/>
    </xf>
    <xf numFmtId="164" fontId="0" fillId="0" borderId="0" xfId="4" applyNumberFormat="1" applyFont="1" applyBorder="1" applyAlignment="1" applyProtection="1">
      <alignment horizontal="center"/>
    </xf>
    <xf numFmtId="0" fontId="0" fillId="0" borderId="12" xfId="0" applyBorder="1" applyProtection="1"/>
    <xf numFmtId="0" fontId="0" fillId="0" borderId="11" xfId="0" applyBorder="1" applyProtection="1"/>
    <xf numFmtId="0" fontId="0" fillId="0" borderId="11" xfId="0" applyBorder="1" applyAlignment="1" applyProtection="1">
      <alignment horizontal="right"/>
    </xf>
    <xf numFmtId="164" fontId="0" fillId="0" borderId="11" xfId="4" applyNumberFormat="1" applyFont="1" applyFill="1" applyBorder="1" applyProtection="1"/>
    <xf numFmtId="0" fontId="0" fillId="0" borderId="7" xfId="0" applyBorder="1" applyProtection="1"/>
    <xf numFmtId="0" fontId="0" fillId="0" borderId="5" xfId="0" applyBorder="1" applyProtection="1"/>
    <xf numFmtId="164" fontId="0" fillId="0" borderId="5" xfId="4" applyNumberFormat="1" applyFont="1" applyBorder="1" applyProtection="1"/>
    <xf numFmtId="164" fontId="0" fillId="0" borderId="0" xfId="4" applyNumberFormat="1" applyFont="1" applyBorder="1" applyProtection="1"/>
    <xf numFmtId="164" fontId="0" fillId="0" borderId="0" xfId="4" applyNumberFormat="1" applyFont="1" applyBorder="1" applyAlignment="1" applyProtection="1">
      <alignment horizontal="right"/>
    </xf>
    <xf numFmtId="164" fontId="0" fillId="0" borderId="0" xfId="4" applyNumberFormat="1" applyFont="1" applyProtection="1"/>
    <xf numFmtId="164" fontId="0" fillId="0" borderId="3" xfId="4" applyNumberFormat="1" applyFont="1" applyBorder="1" applyProtection="1"/>
    <xf numFmtId="164" fontId="0" fillId="0" borderId="2" xfId="4" applyNumberFormat="1" applyFont="1" applyBorder="1" applyProtection="1"/>
    <xf numFmtId="0" fontId="3" fillId="0" borderId="0" xfId="0" applyFont="1" applyProtection="1"/>
    <xf numFmtId="43" fontId="0" fillId="0" borderId="0" xfId="0" applyNumberFormat="1" applyProtection="1"/>
    <xf numFmtId="0" fontId="9" fillId="0" borderId="0" xfId="0" applyFont="1" applyProtection="1"/>
    <xf numFmtId="0" fontId="4" fillId="5" borderId="0" xfId="0" applyFont="1" applyFill="1" applyProtection="1"/>
    <xf numFmtId="0" fontId="0" fillId="4" borderId="0" xfId="0" applyFill="1" applyProtection="1"/>
    <xf numFmtId="0" fontId="3" fillId="4" borderId="0" xfId="0" applyFont="1" applyFill="1" applyAlignment="1" applyProtection="1">
      <alignment horizontal="center"/>
    </xf>
    <xf numFmtId="0" fontId="4" fillId="0" borderId="10" xfId="0" applyFont="1" applyBorder="1" applyAlignment="1" applyProtection="1">
      <alignment horizontal="right"/>
    </xf>
    <xf numFmtId="0" fontId="4" fillId="0" borderId="11" xfId="0" applyFont="1" applyBorder="1" applyAlignment="1" applyProtection="1">
      <alignment horizontal="right"/>
    </xf>
    <xf numFmtId="0" fontId="0" fillId="5" borderId="0" xfId="0" applyFill="1" applyProtection="1"/>
    <xf numFmtId="0" fontId="9" fillId="0" borderId="5" xfId="0" applyFont="1"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0" xfId="0" applyAlignment="1">
      <alignment wrapText="1"/>
    </xf>
    <xf numFmtId="0" fontId="9" fillId="4" borderId="5" xfId="0" applyFont="1" applyFill="1" applyBorder="1" applyAlignment="1">
      <alignment vertical="center" wrapText="1"/>
    </xf>
    <xf numFmtId="0" fontId="0" fillId="4" borderId="16" xfId="0" applyFill="1" applyBorder="1" applyAlignment="1">
      <alignment vertical="center" wrapText="1"/>
    </xf>
    <xf numFmtId="0" fontId="0" fillId="4" borderId="4" xfId="0" applyFill="1" applyBorder="1" applyAlignment="1">
      <alignment vertical="center" wrapText="1"/>
    </xf>
    <xf numFmtId="0" fontId="0" fillId="0" borderId="0" xfId="0" applyAlignment="1">
      <alignment vertical="center" wrapText="1"/>
    </xf>
    <xf numFmtId="0" fontId="14" fillId="0" borderId="0" xfId="6" applyFont="1" applyAlignment="1">
      <alignment horizontal="left"/>
    </xf>
    <xf numFmtId="0" fontId="7" fillId="0" borderId="0" xfId="0" applyFont="1" applyAlignment="1">
      <alignment horizontal="right"/>
    </xf>
    <xf numFmtId="0" fontId="12" fillId="6" borderId="13" xfId="0" applyFont="1" applyFill="1" applyBorder="1" applyAlignment="1">
      <alignment horizontal="center"/>
    </xf>
    <xf numFmtId="0" fontId="12" fillId="6" borderId="14" xfId="0" applyFont="1" applyFill="1" applyBorder="1" applyAlignment="1">
      <alignment horizontal="center"/>
    </xf>
    <xf numFmtId="0" fontId="12" fillId="6" borderId="15" xfId="0" applyFont="1" applyFill="1" applyBorder="1" applyAlignment="1">
      <alignment horizontal="center"/>
    </xf>
    <xf numFmtId="0" fontId="0" fillId="6" borderId="3" xfId="0" applyFill="1" applyBorder="1"/>
    <xf numFmtId="0" fontId="0" fillId="6" borderId="17" xfId="0" applyFill="1" applyBorder="1" applyAlignment="1">
      <alignment wrapText="1"/>
    </xf>
    <xf numFmtId="0" fontId="0" fillId="6" borderId="17" xfId="0" applyFill="1" applyBorder="1"/>
    <xf numFmtId="0" fontId="0" fillId="6" borderId="1" xfId="0" applyFill="1" applyBorder="1"/>
    <xf numFmtId="0" fontId="6" fillId="6" borderId="0" xfId="0" applyFont="1" applyFill="1" applyProtection="1"/>
    <xf numFmtId="0" fontId="2" fillId="6" borderId="0" xfId="0" applyFont="1" applyFill="1" applyProtection="1"/>
    <xf numFmtId="0" fontId="15" fillId="0" borderId="0" xfId="0" applyFont="1" applyAlignment="1">
      <alignment vertical="center" wrapText="1"/>
    </xf>
    <xf numFmtId="0" fontId="16" fillId="0" borderId="0" xfId="0" applyFont="1"/>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wrapText="1"/>
    </xf>
    <xf numFmtId="0" fontId="18" fillId="6" borderId="0" xfId="0" applyFont="1" applyFill="1" applyAlignment="1">
      <alignment vertical="center" wrapText="1"/>
    </xf>
    <xf numFmtId="0" fontId="19" fillId="0" borderId="0" xfId="0" applyFont="1" applyAlignment="1">
      <alignment wrapText="1"/>
    </xf>
    <xf numFmtId="164" fontId="0" fillId="0" borderId="7" xfId="4" applyNumberFormat="1" applyFont="1" applyBorder="1" applyProtection="1"/>
    <xf numFmtId="164" fontId="0" fillId="0" borderId="6" xfId="4" applyNumberFormat="1" applyFont="1" applyBorder="1" applyProtection="1"/>
    <xf numFmtId="164" fontId="0" fillId="0" borderId="6" xfId="4" applyNumberFormat="1" applyFont="1" applyBorder="1" applyAlignment="1" applyProtection="1">
      <alignment horizontal="right"/>
    </xf>
    <xf numFmtId="164" fontId="0" fillId="0" borderId="2" xfId="4" applyNumberFormat="1" applyFont="1" applyFill="1" applyBorder="1" applyAlignment="1" applyProtection="1">
      <alignment horizontal="right"/>
    </xf>
    <xf numFmtId="0" fontId="0" fillId="2" borderId="9" xfId="0" applyFill="1" applyBorder="1" applyProtection="1">
      <protection locked="0"/>
    </xf>
    <xf numFmtId="0" fontId="0" fillId="0" borderId="0" xfId="0" applyAlignment="1">
      <alignment horizontal="center"/>
    </xf>
    <xf numFmtId="0" fontId="20" fillId="0" borderId="0" xfId="0" applyFont="1" applyAlignment="1" applyProtection="1">
      <alignment horizontal="center"/>
    </xf>
    <xf numFmtId="0" fontId="0" fillId="0" borderId="2" xfId="0" applyBorder="1" applyAlignment="1" applyProtection="1">
      <alignment horizontal="center"/>
    </xf>
    <xf numFmtId="0" fontId="16" fillId="5" borderId="0" xfId="0" applyFont="1" applyFill="1" applyAlignment="1">
      <alignment vertical="center" wrapText="1"/>
    </xf>
    <xf numFmtId="0" fontId="16" fillId="5" borderId="0" xfId="6" applyFont="1" applyFill="1" applyAlignment="1">
      <alignment vertical="center" wrapText="1"/>
    </xf>
    <xf numFmtId="0" fontId="4" fillId="5" borderId="0" xfId="0" applyFont="1" applyFill="1" applyAlignment="1" applyProtection="1">
      <alignment horizontal="right"/>
    </xf>
    <xf numFmtId="9" fontId="0" fillId="0" borderId="0" xfId="5" applyFont="1" applyProtection="1"/>
    <xf numFmtId="0" fontId="0" fillId="0" borderId="0" xfId="0" applyAlignment="1" applyProtection="1">
      <alignment horizontal="right"/>
    </xf>
    <xf numFmtId="164" fontId="0" fillId="0" borderId="19" xfId="0" applyNumberFormat="1" applyBorder="1" applyProtection="1"/>
    <xf numFmtId="0" fontId="0" fillId="0" borderId="19" xfId="0" applyBorder="1" applyProtection="1"/>
    <xf numFmtId="0" fontId="0" fillId="0" borderId="20" xfId="0" applyBorder="1" applyAlignment="1" applyProtection="1">
      <alignment horizontal="center"/>
    </xf>
    <xf numFmtId="164" fontId="0" fillId="0" borderId="20" xfId="4" applyNumberFormat="1" applyFont="1" applyBorder="1" applyAlignment="1" applyProtection="1">
      <alignment horizontal="center"/>
    </xf>
    <xf numFmtId="164" fontId="0" fillId="0" borderId="19" xfId="4" applyNumberFormat="1" applyFont="1" applyBorder="1" applyAlignment="1" applyProtection="1">
      <alignment horizontal="center"/>
    </xf>
    <xf numFmtId="164" fontId="0" fillId="0" borderId="21" xfId="4" applyNumberFormat="1" applyFont="1" applyFill="1" applyBorder="1" applyProtection="1"/>
    <xf numFmtId="164" fontId="0" fillId="0" borderId="20" xfId="4" applyNumberFormat="1" applyFont="1" applyBorder="1" applyProtection="1"/>
    <xf numFmtId="164" fontId="0" fillId="0" borderId="19" xfId="4" applyNumberFormat="1" applyFont="1" applyBorder="1" applyProtection="1"/>
    <xf numFmtId="164" fontId="0" fillId="0" borderId="18" xfId="4" applyNumberFormat="1" applyFont="1" applyBorder="1" applyProtection="1"/>
    <xf numFmtId="0" fontId="0" fillId="0" borderId="22" xfId="0" applyBorder="1" applyProtection="1"/>
    <xf numFmtId="0" fontId="0" fillId="0" borderId="22" xfId="0" applyBorder="1" applyAlignment="1" applyProtection="1">
      <alignment horizontal="center"/>
    </xf>
    <xf numFmtId="0" fontId="0" fillId="0" borderId="23" xfId="0" applyBorder="1" applyAlignment="1" applyProtection="1">
      <alignment horizontal="center"/>
    </xf>
    <xf numFmtId="164" fontId="4" fillId="2" borderId="0" xfId="4" applyNumberFormat="1" applyFont="1" applyFill="1" applyProtection="1">
      <protection locked="0"/>
    </xf>
    <xf numFmtId="0" fontId="4" fillId="2" borderId="0" xfId="0" applyFont="1" applyFill="1" applyProtection="1">
      <protection locked="0"/>
    </xf>
    <xf numFmtId="0" fontId="4" fillId="2" borderId="19" xfId="0" applyFont="1" applyFill="1" applyBorder="1" applyProtection="1">
      <protection locked="0"/>
    </xf>
    <xf numFmtId="0" fontId="4" fillId="2" borderId="2" xfId="0" applyFont="1" applyFill="1" applyBorder="1" applyProtection="1">
      <protection locked="0"/>
    </xf>
    <xf numFmtId="0" fontId="4" fillId="2" borderId="18" xfId="0" applyFont="1" applyFill="1" applyBorder="1" applyProtection="1">
      <protection locked="0"/>
    </xf>
    <xf numFmtId="0" fontId="0" fillId="2" borderId="2" xfId="0" applyFill="1" applyBorder="1" applyProtection="1">
      <protection locked="0"/>
    </xf>
    <xf numFmtId="0" fontId="8" fillId="3" borderId="0" xfId="0" applyFont="1" applyFill="1" applyProtection="1">
      <protection locked="0"/>
    </xf>
    <xf numFmtId="164" fontId="24" fillId="0" borderId="0" xfId="0" applyNumberFormat="1" applyFont="1" applyProtection="1"/>
    <xf numFmtId="164" fontId="24" fillId="2" borderId="9" xfId="4" applyNumberFormat="1" applyFont="1" applyFill="1" applyBorder="1" applyProtection="1">
      <protection locked="0"/>
    </xf>
    <xf numFmtId="164" fontId="25" fillId="0" borderId="10" xfId="4" applyNumberFormat="1" applyFont="1" applyBorder="1" applyProtection="1"/>
    <xf numFmtId="0" fontId="25" fillId="0" borderId="0" xfId="0" applyFont="1" applyProtection="1"/>
    <xf numFmtId="43" fontId="24" fillId="0" borderId="0" xfId="4" applyFont="1" applyProtection="1"/>
    <xf numFmtId="164" fontId="25" fillId="0" borderId="11" xfId="4" applyNumberFormat="1" applyFont="1" applyBorder="1" applyProtection="1"/>
    <xf numFmtId="164" fontId="24" fillId="0" borderId="0" xfId="4" applyNumberFormat="1" applyFont="1" applyProtection="1"/>
    <xf numFmtId="0" fontId="25" fillId="5" borderId="0" xfId="0" applyFont="1" applyFill="1" applyProtection="1"/>
    <xf numFmtId="0" fontId="24" fillId="5" borderId="0" xfId="0" applyFont="1" applyFill="1" applyProtection="1"/>
    <xf numFmtId="0" fontId="24" fillId="0" borderId="0" xfId="0" applyFont="1" applyProtection="1"/>
    <xf numFmtId="0" fontId="26" fillId="4" borderId="0" xfId="0" applyFont="1" applyFill="1" applyAlignment="1" applyProtection="1">
      <alignment horizontal="center"/>
    </xf>
    <xf numFmtId="164" fontId="26" fillId="0" borderId="10" xfId="4" applyNumberFormat="1" applyFont="1" applyBorder="1" applyProtection="1"/>
    <xf numFmtId="164" fontId="26" fillId="0" borderId="11" xfId="4" applyNumberFormat="1" applyFont="1" applyBorder="1" applyProtection="1"/>
    <xf numFmtId="164" fontId="26" fillId="0" borderId="0" xfId="4" applyNumberFormat="1" applyFont="1" applyBorder="1" applyProtection="1"/>
    <xf numFmtId="165" fontId="24" fillId="0" borderId="0" xfId="5" applyNumberFormat="1" applyFont="1" applyProtection="1"/>
    <xf numFmtId="165" fontId="24" fillId="2" borderId="9" xfId="5" applyNumberFormat="1" applyFont="1" applyFill="1" applyBorder="1" applyProtection="1">
      <protection locked="0"/>
    </xf>
    <xf numFmtId="167" fontId="24" fillId="0" borderId="0" xfId="0" applyNumberFormat="1" applyFont="1" applyProtection="1"/>
    <xf numFmtId="165" fontId="25" fillId="0" borderId="10" xfId="5" applyNumberFormat="1" applyFont="1" applyBorder="1" applyProtection="1"/>
    <xf numFmtId="165" fontId="25" fillId="0" borderId="11" xfId="5" applyNumberFormat="1" applyFont="1" applyBorder="1" applyProtection="1"/>
    <xf numFmtId="0" fontId="27" fillId="0" borderId="0" xfId="0" applyFont="1" applyProtection="1"/>
    <xf numFmtId="0" fontId="0" fillId="0" borderId="0" xfId="0" applyFill="1" applyProtection="1"/>
    <xf numFmtId="164" fontId="24" fillId="2" borderId="14" xfId="4" applyNumberFormat="1" applyFont="1" applyFill="1" applyBorder="1" applyProtection="1">
      <protection locked="0"/>
    </xf>
    <xf numFmtId="43" fontId="28" fillId="5" borderId="0" xfId="0" applyNumberFormat="1" applyFont="1" applyFill="1" applyProtection="1"/>
    <xf numFmtId="0" fontId="4" fillId="0" borderId="0" xfId="0" applyNumberFormat="1" applyFont="1" applyAlignment="1" applyProtection="1">
      <alignment horizontal="center"/>
    </xf>
    <xf numFmtId="168" fontId="0" fillId="0" borderId="0" xfId="4" applyNumberFormat="1" applyFont="1" applyProtection="1"/>
    <xf numFmtId="168" fontId="4" fillId="0" borderId="0" xfId="4" applyNumberFormat="1" applyFont="1" applyProtection="1"/>
    <xf numFmtId="0" fontId="16" fillId="0" borderId="17" xfId="0" applyFont="1" applyBorder="1" applyAlignment="1">
      <alignment vertical="center" wrapText="1"/>
    </xf>
    <xf numFmtId="0" fontId="29" fillId="0" borderId="8" xfId="0" applyFont="1" applyBorder="1" applyAlignment="1">
      <alignment vertical="center" wrapText="1"/>
    </xf>
    <xf numFmtId="0" fontId="17" fillId="5" borderId="0" xfId="0" applyFont="1" applyFill="1" applyAlignment="1">
      <alignment vertical="center" wrapText="1"/>
    </xf>
    <xf numFmtId="164" fontId="24" fillId="2" borderId="25" xfId="4" applyNumberFormat="1" applyFont="1" applyFill="1" applyBorder="1" applyProtection="1">
      <protection locked="0"/>
    </xf>
    <xf numFmtId="164" fontId="25" fillId="2" borderId="14" xfId="4" applyNumberFormat="1" applyFont="1" applyFill="1" applyBorder="1" applyAlignment="1" applyProtection="1">
      <alignment horizontal="center"/>
      <protection locked="0"/>
    </xf>
    <xf numFmtId="0" fontId="25" fillId="0" borderId="0" xfId="0" applyFont="1" applyAlignment="1" applyProtection="1">
      <alignment horizontal="right"/>
    </xf>
    <xf numFmtId="0" fontId="0" fillId="0" borderId="26" xfId="0" applyBorder="1" applyAlignment="1" applyProtection="1">
      <alignment horizontal="center"/>
    </xf>
    <xf numFmtId="0" fontId="26" fillId="4" borderId="0" xfId="0" applyFont="1" applyFill="1" applyAlignment="1">
      <alignment horizontal="center"/>
    </xf>
    <xf numFmtId="166" fontId="0" fillId="0" borderId="0" xfId="0" applyNumberFormat="1" applyProtection="1"/>
    <xf numFmtId="0" fontId="4" fillId="5" borderId="0" xfId="0" applyFont="1" applyFill="1"/>
    <xf numFmtId="0" fontId="0" fillId="5" borderId="0" xfId="0" applyFill="1"/>
    <xf numFmtId="0" fontId="7" fillId="5" borderId="0" xfId="0" applyFont="1" applyFill="1" applyAlignment="1">
      <alignment horizontal="right"/>
    </xf>
    <xf numFmtId="0" fontId="4" fillId="3" borderId="0" xfId="0" applyFont="1" applyFill="1" applyAlignment="1">
      <alignment horizontal="right"/>
    </xf>
    <xf numFmtId="0" fontId="0" fillId="3" borderId="0" xfId="0" applyFill="1"/>
    <xf numFmtId="0" fontId="6" fillId="6" borderId="0" xfId="0" applyFont="1" applyFill="1"/>
    <xf numFmtId="0" fontId="2" fillId="6" borderId="0" xfId="0" applyFont="1" applyFill="1"/>
    <xf numFmtId="164" fontId="0" fillId="0" borderId="0" xfId="0" applyNumberFormat="1"/>
    <xf numFmtId="0" fontId="0" fillId="0" borderId="22" xfId="0" applyBorder="1"/>
    <xf numFmtId="0" fontId="0" fillId="0" borderId="22" xfId="0" applyBorder="1" applyAlignment="1">
      <alignment horizontal="center"/>
    </xf>
    <xf numFmtId="0" fontId="0" fillId="0" borderId="23" xfId="0" applyBorder="1" applyAlignment="1">
      <alignment horizontal="center"/>
    </xf>
    <xf numFmtId="0" fontId="0" fillId="0" borderId="0" xfId="0" applyAlignment="1">
      <alignment horizontal="right"/>
    </xf>
    <xf numFmtId="164" fontId="0" fillId="0" borderId="19" xfId="0" applyNumberFormat="1" applyBorder="1"/>
    <xf numFmtId="0" fontId="0" fillId="0" borderId="19" xfId="0" applyBorder="1"/>
    <xf numFmtId="0" fontId="4" fillId="5" borderId="0" xfId="0" applyFont="1" applyFill="1" applyAlignment="1">
      <alignment horizontal="right"/>
    </xf>
    <xf numFmtId="0" fontId="4" fillId="0" borderId="0" xfId="0" applyFont="1" applyAlignment="1">
      <alignment horizontal="right"/>
    </xf>
    <xf numFmtId="0" fontId="3" fillId="2" borderId="14"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164" fontId="0" fillId="2" borderId="27" xfId="4" applyNumberFormat="1" applyFont="1" applyFill="1" applyBorder="1" applyAlignment="1" applyProtection="1">
      <alignment horizontal="center"/>
      <protection locked="0"/>
    </xf>
    <xf numFmtId="164" fontId="0" fillId="2" borderId="28" xfId="4" applyNumberFormat="1" applyFont="1" applyFill="1" applyBorder="1" applyAlignment="1" applyProtection="1">
      <alignment horizontal="center"/>
      <protection locked="0"/>
    </xf>
    <xf numFmtId="164" fontId="0" fillId="2" borderId="29" xfId="4" applyNumberFormat="1" applyFont="1" applyFill="1" applyBorder="1" applyAlignment="1" applyProtection="1">
      <alignment horizontal="center"/>
      <protection locked="0"/>
    </xf>
    <xf numFmtId="164" fontId="0" fillId="2" borderId="30" xfId="4" applyNumberFormat="1" applyFont="1" applyFill="1" applyBorder="1" applyAlignment="1" applyProtection="1">
      <alignment horizontal="center"/>
      <protection locked="0"/>
    </xf>
    <xf numFmtId="164" fontId="0" fillId="2" borderId="9" xfId="4" applyNumberFormat="1" applyFont="1" applyFill="1" applyBorder="1" applyAlignment="1" applyProtection="1">
      <alignment horizontal="center"/>
      <protection locked="0"/>
    </xf>
    <xf numFmtId="164" fontId="0" fillId="2" borderId="31" xfId="4" applyNumberFormat="1" applyFont="1" applyFill="1" applyBorder="1" applyAlignment="1" applyProtection="1">
      <alignment horizontal="center"/>
      <protection locked="0"/>
    </xf>
    <xf numFmtId="0" fontId="0" fillId="0" borderId="3" xfId="0" applyBorder="1"/>
    <xf numFmtId="0" fontId="0" fillId="0" borderId="2" xfId="0" applyBorder="1"/>
    <xf numFmtId="0" fontId="0" fillId="0" borderId="2" xfId="0" applyBorder="1" applyAlignment="1">
      <alignment horizontal="right"/>
    </xf>
    <xf numFmtId="164" fontId="0" fillId="0" borderId="32" xfId="4" applyNumberFormat="1" applyFont="1" applyFill="1" applyBorder="1" applyProtection="1"/>
    <xf numFmtId="164" fontId="0" fillId="0" borderId="33" xfId="4" applyNumberFormat="1" applyFont="1" applyBorder="1" applyProtection="1"/>
    <xf numFmtId="164" fontId="0" fillId="0" borderId="4" xfId="4" applyNumberFormat="1" applyFont="1" applyBorder="1" applyProtection="1"/>
    <xf numFmtId="164" fontId="0" fillId="0" borderId="1" xfId="4" applyNumberFormat="1" applyFont="1" applyBorder="1" applyProtection="1"/>
    <xf numFmtId="0" fontId="3" fillId="0" borderId="0" xfId="0" applyFont="1"/>
    <xf numFmtId="0" fontId="4" fillId="0" borderId="0" xfId="0" applyFont="1"/>
    <xf numFmtId="43" fontId="0" fillId="0" borderId="0" xfId="0" applyNumberFormat="1"/>
    <xf numFmtId="0" fontId="25" fillId="0" borderId="13" xfId="0" applyFont="1" applyFill="1" applyBorder="1" applyAlignment="1" applyProtection="1">
      <alignment horizontal="center" vertical="center"/>
    </xf>
    <xf numFmtId="0" fontId="28" fillId="0" borderId="24" xfId="0" applyFont="1" applyFill="1" applyBorder="1" applyAlignment="1">
      <alignment horizontal="center" vertical="center"/>
    </xf>
    <xf numFmtId="0" fontId="28" fillId="0" borderId="15" xfId="0" applyFont="1" applyFill="1" applyBorder="1" applyAlignment="1">
      <alignment horizontal="center" vertical="center"/>
    </xf>
    <xf numFmtId="0" fontId="3" fillId="2" borderId="13"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3" fillId="2" borderId="13" xfId="0" applyFont="1" applyFill="1" applyBorder="1" applyAlignment="1" applyProtection="1">
      <alignment horizontal="right"/>
      <protection locked="0"/>
    </xf>
    <xf numFmtId="0" fontId="0" fillId="0" borderId="24" xfId="0" applyBorder="1" applyAlignment="1" applyProtection="1">
      <alignment horizontal="right"/>
      <protection locked="0"/>
    </xf>
    <xf numFmtId="0" fontId="0" fillId="0" borderId="15" xfId="0" applyBorder="1" applyAlignment="1" applyProtection="1">
      <alignment horizontal="right"/>
      <protection locked="0"/>
    </xf>
    <xf numFmtId="0" fontId="4" fillId="2" borderId="13" xfId="0" applyFont="1" applyFill="1" applyBorder="1" applyAlignment="1" applyProtection="1">
      <alignment horizontal="right"/>
      <protection locked="0"/>
    </xf>
    <xf numFmtId="0" fontId="0" fillId="0" borderId="24" xfId="0" applyBorder="1" applyProtection="1">
      <protection locked="0"/>
    </xf>
    <xf numFmtId="0" fontId="0" fillId="0" borderId="15" xfId="0" applyBorder="1" applyProtection="1">
      <protection locked="0"/>
    </xf>
    <xf numFmtId="0" fontId="8" fillId="2" borderId="13" xfId="0" applyFont="1" applyFill="1" applyBorder="1" applyProtection="1">
      <protection locked="0"/>
    </xf>
    <xf numFmtId="0" fontId="0" fillId="2" borderId="24" xfId="0" applyFill="1" applyBorder="1" applyProtection="1">
      <protection locked="0"/>
    </xf>
    <xf numFmtId="0" fontId="0" fillId="2" borderId="15" xfId="0" applyFill="1" applyBorder="1" applyProtection="1">
      <protection locked="0"/>
    </xf>
    <xf numFmtId="0" fontId="7" fillId="2" borderId="13" xfId="0" applyFont="1" applyFill="1" applyBorder="1" applyProtection="1">
      <protection locked="0"/>
    </xf>
    <xf numFmtId="172" fontId="0" fillId="0" borderId="0" xfId="0" applyNumberFormat="1"/>
    <xf numFmtId="14" fontId="0" fillId="0" borderId="0" xfId="0" applyNumberFormat="1"/>
    <xf numFmtId="0" fontId="3" fillId="7" borderId="8" xfId="0" applyNumberFormat="1" applyFont="1" applyFill="1" applyBorder="1" applyAlignment="1" applyProtection="1">
      <alignment horizontal="center"/>
      <protection locked="0"/>
    </xf>
    <xf numFmtId="0" fontId="0" fillId="7" borderId="0" xfId="0" quotePrefix="1" applyNumberFormat="1" applyFill="1" applyAlignment="1">
      <alignment horizontal="center"/>
    </xf>
    <xf numFmtId="0" fontId="0" fillId="5" borderId="0" xfId="0" quotePrefix="1" applyNumberFormat="1" applyFill="1" applyAlignment="1">
      <alignment horizontal="center"/>
    </xf>
    <xf numFmtId="0" fontId="0" fillId="0" borderId="0" xfId="0" quotePrefix="1" applyNumberFormat="1" applyFill="1" applyAlignment="1">
      <alignment horizontal="center"/>
    </xf>
    <xf numFmtId="0" fontId="0" fillId="8" borderId="0" xfId="0" quotePrefix="1" applyNumberFormat="1" applyFill="1" applyAlignment="1">
      <alignment horizontal="center"/>
    </xf>
    <xf numFmtId="17" fontId="3" fillId="2" borderId="14" xfId="0" quotePrefix="1" applyNumberFormat="1" applyFont="1" applyFill="1" applyBorder="1" applyAlignment="1" applyProtection="1">
      <alignment horizontal="center"/>
      <protection locked="0"/>
    </xf>
    <xf numFmtId="0" fontId="3" fillId="2" borderId="14" xfId="0" quotePrefix="1" applyFont="1" applyFill="1" applyBorder="1" applyAlignment="1" applyProtection="1">
      <alignment horizontal="center"/>
      <protection locked="0"/>
    </xf>
  </cellXfs>
  <cellStyles count="7">
    <cellStyle name="Comma" xfId="4" builtinId="3"/>
    <cellStyle name="Comma 2" xfId="1" xr:uid="{00000000-0005-0000-0000-000001000000}"/>
    <cellStyle name="Currency 2" xfId="2" xr:uid="{00000000-0005-0000-0000-000002000000}"/>
    <cellStyle name="Hyperlink" xfId="6" builtinId="8"/>
    <cellStyle name="Normal" xfId="0" builtinId="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'3-Cash Flow Chart'!$B$113</c:f>
          <c:strCache>
            <c:ptCount val="1"/>
            <c:pt idx="0">
              <c:v>MONTHLY CASH FLOW ESTIMATE - GENERAL FUND FOR FISCAL YEAR ENDING-JUN-2021</c:v>
            </c:pt>
          </c:strCache>
        </c:strRef>
      </c:tx>
      <c:overlay val="0"/>
      <c:txPr>
        <a:bodyPr/>
        <a:lstStyle/>
        <a:p>
          <a:pPr>
            <a:defRPr sz="1800"/>
          </a:pPr>
          <a:endParaRPr lang="en-US"/>
        </a:p>
      </c:txPr>
    </c:title>
    <c:autoTitleDeleted val="0"/>
    <c:plotArea>
      <c:layout/>
      <c:areaChart>
        <c:grouping val="standard"/>
        <c:varyColors val="0"/>
        <c:ser>
          <c:idx val="2"/>
          <c:order val="2"/>
          <c:tx>
            <c:strRef>
              <c:f>'3-Cash Flow Chart'!$D$109</c:f>
              <c:strCache>
                <c:ptCount val="1"/>
                <c:pt idx="0">
                  <c:v> Cash Bal-Positive </c:v>
                </c:pt>
              </c:strCache>
            </c:strRef>
          </c:tx>
          <c:spPr>
            <a:solidFill>
              <a:schemeClr val="bg1">
                <a:lumMod val="75000"/>
              </a:schemeClr>
            </a:solidFill>
          </c:spPr>
          <c:cat>
            <c:strRef>
              <c:f>'3-Cash Flow Chart'!$E$46:$AN$46</c:f>
              <c:strCache>
                <c:ptCount val="36"/>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strCache>
            </c:strRef>
          </c:cat>
          <c:val>
            <c:numRef>
              <c:f>'3-Cash Flow Chart'!$E$109:$AN$109</c:f>
              <c:numCache>
                <c:formatCode>_(* #,##0_);_(* \(#,##0\);_(* "-"??_);_(@_)</c:formatCode>
                <c:ptCount val="36"/>
                <c:pt idx="0">
                  <c:v>69253.859999999986</c:v>
                </c:pt>
                <c:pt idx="1">
                  <c:v>44229.493999999977</c:v>
                </c:pt>
                <c:pt idx="2">
                  <c:v>22912.352999999981</c:v>
                </c:pt>
                <c:pt idx="3">
                  <c:v>127885.17</c:v>
                </c:pt>
                <c:pt idx="4">
                  <c:v>227090.68800000002</c:v>
                </c:pt>
                <c:pt idx="5">
                  <c:v>179871.87600000005</c:v>
                </c:pt>
                <c:pt idx="6">
                  <c:v>70732.965000000055</c:v>
                </c:pt>
                <c:pt idx="7">
                  <c:v>64694.220000000059</c:v>
                </c:pt>
                <c:pt idx="8">
                  <c:v>97239.478000000061</c:v>
                </c:pt>
                <c:pt idx="9">
                  <c:v>230677.14000000007</c:v>
                </c:pt>
                <c:pt idx="10">
                  <c:v>196369.59300000011</c:v>
                </c:pt>
                <c:pt idx="11">
                  <c:v>95346.972000000096</c:v>
                </c:pt>
                <c:pt idx="12">
                  <c:v>86308.095267721073</c:v>
                </c:pt>
                <c:pt idx="13">
                  <c:v>86680.258173176597</c:v>
                </c:pt>
                <c:pt idx="14">
                  <c:v>95959.622343127645</c:v>
                </c:pt>
                <c:pt idx="15">
                  <c:v>198622.9297566411</c:v>
                </c:pt>
                <c:pt idx="16">
                  <c:v>288385.82523348869</c:v>
                </c:pt>
                <c:pt idx="17">
                  <c:v>223734.72143425388</c:v>
                </c:pt>
                <c:pt idx="18">
                  <c:v>122889.75114955791</c:v>
                </c:pt>
                <c:pt idx="19">
                  <c:v>114225.85640978388</c:v>
                </c:pt>
                <c:pt idx="20">
                  <c:v>139783.69638784049</c:v>
                </c:pt>
                <c:pt idx="21">
                  <c:v>263182.66063281684</c:v>
                </c:pt>
                <c:pt idx="22">
                  <c:v>185042.6149462749</c:v>
                </c:pt>
                <c:pt idx="23">
                  <c:v>141127.54747588915</c:v>
                </c:pt>
                <c:pt idx="24">
                  <c:v>130968.00860875228</c:v>
                </c:pt>
                <c:pt idx="25">
                  <c:v>130474.93552466857</c:v>
                </c:pt>
                <c:pt idx="26">
                  <c:v>139040.1407020617</c:v>
                </c:pt>
                <c:pt idx="27">
                  <c:v>244286.1678013003</c:v>
                </c:pt>
                <c:pt idx="28">
                  <c:v>335985.97188290843</c:v>
                </c:pt>
                <c:pt idx="29">
                  <c:v>268323.93085608375</c:v>
                </c:pt>
                <c:pt idx="30">
                  <c:v>163537.05363797318</c:v>
                </c:pt>
                <c:pt idx="31">
                  <c:v>153870.57604306555</c:v>
                </c:pt>
                <c:pt idx="32">
                  <c:v>179695.19162346495</c:v>
                </c:pt>
                <c:pt idx="33">
                  <c:v>306239.93827802222</c:v>
                </c:pt>
                <c:pt idx="34">
                  <c:v>224443.00477459619</c:v>
                </c:pt>
                <c:pt idx="35">
                  <c:v>178220.76047097804</c:v>
                </c:pt>
              </c:numCache>
            </c:numRef>
          </c:val>
          <c:extLst>
            <c:ext xmlns:c16="http://schemas.microsoft.com/office/drawing/2014/chart" uri="{C3380CC4-5D6E-409C-BE32-E72D297353CC}">
              <c16:uniqueId val="{00000000-4CA6-4A93-85F0-F54C5DFFA8C9}"/>
            </c:ext>
          </c:extLst>
        </c:ser>
        <c:ser>
          <c:idx val="3"/>
          <c:order val="3"/>
          <c:tx>
            <c:strRef>
              <c:f>'3-Cash Flow Chart'!$D$110</c:f>
              <c:strCache>
                <c:ptCount val="1"/>
                <c:pt idx="0">
                  <c:v> Cash Bal-Negative </c:v>
                </c:pt>
              </c:strCache>
            </c:strRef>
          </c:tx>
          <c:spPr>
            <a:solidFill>
              <a:srgbClr val="FF0000"/>
            </a:solidFill>
          </c:spPr>
          <c:cat>
            <c:strRef>
              <c:f>'3-Cash Flow Chart'!$E$46:$AN$46</c:f>
              <c:strCache>
                <c:ptCount val="36"/>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strCache>
            </c:strRef>
          </c:cat>
          <c:val>
            <c:numRef>
              <c:f>'3-Cash Flow Chart'!$E$110:$AN$110</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4CA6-4A93-85F0-F54C5DFFA8C9}"/>
            </c:ext>
          </c:extLst>
        </c:ser>
        <c:dLbls>
          <c:showLegendKey val="0"/>
          <c:showVal val="0"/>
          <c:showCatName val="0"/>
          <c:showSerName val="0"/>
          <c:showPercent val="0"/>
          <c:showBubbleSize val="0"/>
        </c:dLbls>
        <c:axId val="419184688"/>
        <c:axId val="419179200"/>
      </c:areaChart>
      <c:lineChart>
        <c:grouping val="standard"/>
        <c:varyColors val="0"/>
        <c:ser>
          <c:idx val="0"/>
          <c:order val="0"/>
          <c:tx>
            <c:strRef>
              <c:f>'3-Cash Flow Chart'!$D$77</c:f>
              <c:strCache>
                <c:ptCount val="1"/>
                <c:pt idx="0">
                  <c:v>Inflows</c:v>
                </c:pt>
              </c:strCache>
            </c:strRef>
          </c:tx>
          <c:spPr>
            <a:ln>
              <a:solidFill>
                <a:schemeClr val="tx1"/>
              </a:solidFill>
            </a:ln>
          </c:spPr>
          <c:marker>
            <c:symbol val="none"/>
          </c:marker>
          <c:cat>
            <c:strRef>
              <c:f>'3-Cash Flow Chart'!$E$46:$AN$46</c:f>
              <c:strCache>
                <c:ptCount val="36"/>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strCache>
            </c:strRef>
          </c:cat>
          <c:val>
            <c:numRef>
              <c:f>'3-Cash Flow Chart'!$E$77:$AN$77</c:f>
              <c:numCache>
                <c:formatCode>_(* #,##0_);_(* \(#,##0\);_(* "-"??_);_(@_)</c:formatCode>
                <c:ptCount val="36"/>
                <c:pt idx="0">
                  <c:v>46172.302999999993</c:v>
                </c:pt>
                <c:pt idx="1">
                  <c:v>43958.087999999996</c:v>
                </c:pt>
                <c:pt idx="2">
                  <c:v>28151.247000000003</c:v>
                </c:pt>
                <c:pt idx="3">
                  <c:v>136993.61700000003</c:v>
                </c:pt>
                <c:pt idx="4">
                  <c:v>183176.21800000002</c:v>
                </c:pt>
                <c:pt idx="5">
                  <c:v>88699.588000000018</c:v>
                </c:pt>
                <c:pt idx="6">
                  <c:v>35041.089</c:v>
                </c:pt>
                <c:pt idx="7">
                  <c:v>33514.455000000002</c:v>
                </c:pt>
                <c:pt idx="8">
                  <c:v>71247.05799999999</c:v>
                </c:pt>
                <c:pt idx="9">
                  <c:v>218305.36200000002</c:v>
                </c:pt>
                <c:pt idx="10">
                  <c:v>76258.753000000012</c:v>
                </c:pt>
                <c:pt idx="11">
                  <c:v>29948.078999999998</c:v>
                </c:pt>
                <c:pt idx="12">
                  <c:v>29985.359398265711</c:v>
                </c:pt>
                <c:pt idx="13">
                  <c:v>42945.382275923308</c:v>
                </c:pt>
                <c:pt idx="14">
                  <c:v>40183.520940201604</c:v>
                </c:pt>
                <c:pt idx="15">
                  <c:v>137277.75957263735</c:v>
                </c:pt>
                <c:pt idx="16">
                  <c:v>177595.61009977982</c:v>
                </c:pt>
                <c:pt idx="17">
                  <c:v>80689.545049128705</c:v>
                </c:pt>
                <c:pt idx="18">
                  <c:v>41445.164766825575</c:v>
                </c:pt>
                <c:pt idx="19">
                  <c:v>32343.842128982302</c:v>
                </c:pt>
                <c:pt idx="20">
                  <c:v>63207.265981690092</c:v>
                </c:pt>
                <c:pt idx="21">
                  <c:v>210786.61995742455</c:v>
                </c:pt>
                <c:pt idx="22">
                  <c:v>86115.779723207583</c:v>
                </c:pt>
                <c:pt idx="23">
                  <c:v>40088.219245933346</c:v>
                </c:pt>
                <c:pt idx="24">
                  <c:v>30221.362966266821</c:v>
                </c:pt>
                <c:pt idx="25">
                  <c:v>43138.14336538627</c:v>
                </c:pt>
                <c:pt idx="26">
                  <c:v>40593.331782589827</c:v>
                </c:pt>
                <c:pt idx="27">
                  <c:v>141029.86084500875</c:v>
                </c:pt>
                <c:pt idx="28">
                  <c:v>182372.73246788539</c:v>
                </c:pt>
                <c:pt idx="29">
                  <c:v>81047.294399541133</c:v>
                </c:pt>
                <c:pt idx="30">
                  <c:v>41890.22137339136</c:v>
                </c:pt>
                <c:pt idx="31">
                  <c:v>32663.681351204679</c:v>
                </c:pt>
                <c:pt idx="32">
                  <c:v>64723.842640960502</c:v>
                </c:pt>
                <c:pt idx="33">
                  <c:v>216721.46519231889</c:v>
                </c:pt>
                <c:pt idx="34">
                  <c:v>86472.839940880847</c:v>
                </c:pt>
                <c:pt idx="35">
                  <c:v>40406.275332765566</c:v>
                </c:pt>
              </c:numCache>
            </c:numRef>
          </c:val>
          <c:smooth val="0"/>
          <c:extLst>
            <c:ext xmlns:c16="http://schemas.microsoft.com/office/drawing/2014/chart" uri="{C3380CC4-5D6E-409C-BE32-E72D297353CC}">
              <c16:uniqueId val="{00000002-4CA6-4A93-85F0-F54C5DFFA8C9}"/>
            </c:ext>
          </c:extLst>
        </c:ser>
        <c:ser>
          <c:idx val="1"/>
          <c:order val="1"/>
          <c:tx>
            <c:strRef>
              <c:f>'3-Cash Flow Chart'!$D$108</c:f>
              <c:strCache>
                <c:ptCount val="1"/>
                <c:pt idx="0">
                  <c:v>Outflows</c:v>
                </c:pt>
              </c:strCache>
            </c:strRef>
          </c:tx>
          <c:spPr>
            <a:ln w="34925">
              <a:solidFill>
                <a:srgbClr val="FF0000"/>
              </a:solidFill>
              <a:prstDash val="dash"/>
            </a:ln>
          </c:spPr>
          <c:marker>
            <c:symbol val="none"/>
          </c:marker>
          <c:cat>
            <c:strRef>
              <c:f>'3-Cash Flow Chart'!$E$46:$AN$46</c:f>
              <c:strCache>
                <c:ptCount val="36"/>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strCache>
            </c:strRef>
          </c:cat>
          <c:val>
            <c:numRef>
              <c:f>'3-Cash Flow Chart'!$E$108:$AN$108</c:f>
              <c:numCache>
                <c:formatCode>_(* #,##0_);_(* \(#,##0\);_(* "-"??_);_(@_)</c:formatCode>
                <c:ptCount val="36"/>
                <c:pt idx="0">
                  <c:v>37230.442999999999</c:v>
                </c:pt>
                <c:pt idx="1">
                  <c:v>68982.453999999998</c:v>
                </c:pt>
                <c:pt idx="2">
                  <c:v>49468.387999999999</c:v>
                </c:pt>
                <c:pt idx="3">
                  <c:v>32020.799999999999</c:v>
                </c:pt>
                <c:pt idx="4">
                  <c:v>83970.700000000012</c:v>
                </c:pt>
                <c:pt idx="5">
                  <c:v>135918.40000000002</c:v>
                </c:pt>
                <c:pt idx="6">
                  <c:v>144180</c:v>
                </c:pt>
                <c:pt idx="7">
                  <c:v>39553.199999999997</c:v>
                </c:pt>
                <c:pt idx="8">
                  <c:v>38701.799999999996</c:v>
                </c:pt>
                <c:pt idx="9">
                  <c:v>84867.700000000012</c:v>
                </c:pt>
                <c:pt idx="10">
                  <c:v>110566.3</c:v>
                </c:pt>
                <c:pt idx="11">
                  <c:v>130970.70000000001</c:v>
                </c:pt>
                <c:pt idx="12">
                  <c:v>39024.236130544741</c:v>
                </c:pt>
                <c:pt idx="13">
                  <c:v>42573.219370467777</c:v>
                </c:pt>
                <c:pt idx="14">
                  <c:v>30904.156770250549</c:v>
                </c:pt>
                <c:pt idx="15">
                  <c:v>34614.452159123888</c:v>
                </c:pt>
                <c:pt idx="16">
                  <c:v>87832.714622932283</c:v>
                </c:pt>
                <c:pt idx="17">
                  <c:v>145340.64884836352</c:v>
                </c:pt>
                <c:pt idx="18">
                  <c:v>142290.13505152156</c:v>
                </c:pt>
                <c:pt idx="19">
                  <c:v>41007.736868756321</c:v>
                </c:pt>
                <c:pt idx="20">
                  <c:v>37649.426003633467</c:v>
                </c:pt>
                <c:pt idx="21">
                  <c:v>87387.655712448206</c:v>
                </c:pt>
                <c:pt idx="22">
                  <c:v>164255.82540974952</c:v>
                </c:pt>
                <c:pt idx="23">
                  <c:v>84003.286716319097</c:v>
                </c:pt>
                <c:pt idx="24">
                  <c:v>40380.901833403681</c:v>
                </c:pt>
                <c:pt idx="25">
                  <c:v>43631.216449469961</c:v>
                </c:pt>
                <c:pt idx="26">
                  <c:v>32028.126605196692</c:v>
                </c:pt>
                <c:pt idx="27">
                  <c:v>35783.833745770142</c:v>
                </c:pt>
                <c:pt idx="28">
                  <c:v>90672.928386277214</c:v>
                </c:pt>
                <c:pt idx="29">
                  <c:v>148709.33542636581</c:v>
                </c:pt>
                <c:pt idx="30">
                  <c:v>146677.09859150191</c:v>
                </c:pt>
                <c:pt idx="31">
                  <c:v>42330.158946112293</c:v>
                </c:pt>
                <c:pt idx="32">
                  <c:v>38899.227060561105</c:v>
                </c:pt>
                <c:pt idx="33">
                  <c:v>90176.718537761597</c:v>
                </c:pt>
                <c:pt idx="34">
                  <c:v>168269.77344430686</c:v>
                </c:pt>
                <c:pt idx="35">
                  <c:v>86628.519636383673</c:v>
                </c:pt>
              </c:numCache>
            </c:numRef>
          </c:val>
          <c:smooth val="0"/>
          <c:extLst>
            <c:ext xmlns:c16="http://schemas.microsoft.com/office/drawing/2014/chart" uri="{C3380CC4-5D6E-409C-BE32-E72D297353CC}">
              <c16:uniqueId val="{00000003-4CA6-4A93-85F0-F54C5DFFA8C9}"/>
            </c:ext>
          </c:extLst>
        </c:ser>
        <c:dLbls>
          <c:showLegendKey val="0"/>
          <c:showVal val="0"/>
          <c:showCatName val="0"/>
          <c:showSerName val="0"/>
          <c:showPercent val="0"/>
          <c:showBubbleSize val="0"/>
        </c:dLbls>
        <c:marker val="1"/>
        <c:smooth val="0"/>
        <c:axId val="419184688"/>
        <c:axId val="419179200"/>
      </c:lineChart>
      <c:catAx>
        <c:axId val="419184688"/>
        <c:scaling>
          <c:orientation val="minMax"/>
        </c:scaling>
        <c:delete val="0"/>
        <c:axPos val="b"/>
        <c:majorGridlines/>
        <c:numFmt formatCode="General" sourceLinked="0"/>
        <c:majorTickMark val="none"/>
        <c:minorTickMark val="none"/>
        <c:tickLblPos val="nextTo"/>
        <c:crossAx val="419179200"/>
        <c:crosses val="autoZero"/>
        <c:auto val="1"/>
        <c:lblAlgn val="ctr"/>
        <c:lblOffset val="100"/>
        <c:noMultiLvlLbl val="0"/>
      </c:catAx>
      <c:valAx>
        <c:axId val="419179200"/>
        <c:scaling>
          <c:orientation val="minMax"/>
        </c:scaling>
        <c:delete val="0"/>
        <c:axPos val="l"/>
        <c:majorGridlines/>
        <c:title>
          <c:tx>
            <c:rich>
              <a:bodyPr/>
              <a:lstStyle/>
              <a:p>
                <a:pPr>
                  <a:defRPr sz="1800"/>
                </a:pPr>
                <a:r>
                  <a:rPr lang="en-US" sz="1800"/>
                  <a:t>$ THOUSANDS</a:t>
                </a:r>
              </a:p>
            </c:rich>
          </c:tx>
          <c:overlay val="0"/>
        </c:title>
        <c:numFmt formatCode="&quot;$&quot;#,##0" sourceLinked="0"/>
        <c:majorTickMark val="none"/>
        <c:minorTickMark val="none"/>
        <c:tickLblPos val="nextTo"/>
        <c:txPr>
          <a:bodyPr/>
          <a:lstStyle/>
          <a:p>
            <a:pPr>
              <a:defRPr sz="1600"/>
            </a:pPr>
            <a:endParaRPr lang="en-US"/>
          </a:p>
        </c:txPr>
        <c:crossAx val="419184688"/>
        <c:crosses val="autoZero"/>
        <c:crossBetween val="between"/>
      </c:valAx>
      <c:dTable>
        <c:showHorzBorder val="1"/>
        <c:showVertBorder val="1"/>
        <c:showOutline val="1"/>
        <c:showKeys val="1"/>
        <c:txPr>
          <a:bodyPr/>
          <a:lstStyle/>
          <a:p>
            <a:pPr rtl="0">
              <a:defRPr sz="1000"/>
            </a:pPr>
            <a:endParaRPr lang="en-US"/>
          </a:p>
        </c:txPr>
      </c:dTable>
      <c:spPr>
        <a:solidFill>
          <a:schemeClr val="bg1">
            <a:lumMod val="95000"/>
          </a:schemeClr>
        </a:solidFill>
      </c:spPr>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sz="1200" b="1">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'5-Standalone Chart'!$B$89</c:f>
          <c:strCache>
            <c:ptCount val="1"/>
            <c:pt idx="0">
              <c:v>MONTHLY FORECAST - GENERAL FUND FOR FISCAL YEAR ENDING-JUN-2021</c:v>
            </c:pt>
          </c:strCache>
        </c:strRef>
      </c:tx>
      <c:overlay val="0"/>
      <c:txPr>
        <a:bodyPr/>
        <a:lstStyle/>
        <a:p>
          <a:pPr>
            <a:defRPr sz="1800"/>
          </a:pPr>
          <a:endParaRPr lang="en-US"/>
        </a:p>
      </c:txPr>
    </c:title>
    <c:autoTitleDeleted val="0"/>
    <c:plotArea>
      <c:layout/>
      <c:areaChart>
        <c:grouping val="standard"/>
        <c:varyColors val="0"/>
        <c:ser>
          <c:idx val="2"/>
          <c:order val="2"/>
          <c:tx>
            <c:strRef>
              <c:f>'5-Standalone Chart'!$D$85</c:f>
              <c:strCache>
                <c:ptCount val="1"/>
                <c:pt idx="0">
                  <c:v> Cash Bal-Positive </c:v>
                </c:pt>
              </c:strCache>
            </c:strRef>
          </c:tx>
          <c:spPr>
            <a:solidFill>
              <a:schemeClr val="bg1">
                <a:lumMod val="75000"/>
              </a:schemeClr>
            </a:solidFill>
          </c:spPr>
          <c:cat>
            <c:strRef>
              <c:f>'5-Standalone Chart'!$E$48:$AN$48</c:f>
              <c:strCache>
                <c:ptCount val="36"/>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strCache>
            </c:strRef>
          </c:cat>
          <c:val>
            <c:numRef>
              <c:f>'5-Standalone Chart'!$E$85:$AN$85</c:f>
              <c:numCache>
                <c:formatCode>_(* #,##0_);_(* \(#,##0\);_(* "-"??_);_(@_)</c:formatCode>
                <c:ptCount val="36"/>
                <c:pt idx="0">
                  <c:v>69253.859999999986</c:v>
                </c:pt>
                <c:pt idx="1">
                  <c:v>44229.493999999977</c:v>
                </c:pt>
                <c:pt idx="2">
                  <c:v>22912.352999999981</c:v>
                </c:pt>
                <c:pt idx="3">
                  <c:v>127885.17</c:v>
                </c:pt>
                <c:pt idx="4">
                  <c:v>227090.68800000002</c:v>
                </c:pt>
                <c:pt idx="5">
                  <c:v>179871.87600000005</c:v>
                </c:pt>
                <c:pt idx="6">
                  <c:v>70732.965000000055</c:v>
                </c:pt>
                <c:pt idx="7">
                  <c:v>64694.220000000059</c:v>
                </c:pt>
                <c:pt idx="8">
                  <c:v>97239.478000000061</c:v>
                </c:pt>
                <c:pt idx="9">
                  <c:v>230677.14000000007</c:v>
                </c:pt>
                <c:pt idx="10">
                  <c:v>196369.59300000011</c:v>
                </c:pt>
                <c:pt idx="11">
                  <c:v>95346.972000000096</c:v>
                </c:pt>
                <c:pt idx="12">
                  <c:v>86308.095267721073</c:v>
                </c:pt>
                <c:pt idx="13">
                  <c:v>86680.258173176597</c:v>
                </c:pt>
                <c:pt idx="14">
                  <c:v>95959.622343127645</c:v>
                </c:pt>
                <c:pt idx="15">
                  <c:v>198622.9297566411</c:v>
                </c:pt>
                <c:pt idx="16">
                  <c:v>288385.82523348869</c:v>
                </c:pt>
                <c:pt idx="17">
                  <c:v>223734.72143425388</c:v>
                </c:pt>
                <c:pt idx="18">
                  <c:v>122889.75114955791</c:v>
                </c:pt>
                <c:pt idx="19">
                  <c:v>114225.85640978388</c:v>
                </c:pt>
                <c:pt idx="20">
                  <c:v>139783.69638784049</c:v>
                </c:pt>
                <c:pt idx="21">
                  <c:v>263182.66063281684</c:v>
                </c:pt>
                <c:pt idx="22">
                  <c:v>185042.6149462749</c:v>
                </c:pt>
                <c:pt idx="23">
                  <c:v>141127.54747588915</c:v>
                </c:pt>
                <c:pt idx="24">
                  <c:v>130968.00860875228</c:v>
                </c:pt>
                <c:pt idx="25">
                  <c:v>130474.93552466857</c:v>
                </c:pt>
                <c:pt idx="26">
                  <c:v>139040.1407020617</c:v>
                </c:pt>
                <c:pt idx="27">
                  <c:v>244286.1678013003</c:v>
                </c:pt>
                <c:pt idx="28">
                  <c:v>335985.97188290843</c:v>
                </c:pt>
                <c:pt idx="29">
                  <c:v>268323.93085608375</c:v>
                </c:pt>
                <c:pt idx="30">
                  <c:v>163537.05363797318</c:v>
                </c:pt>
                <c:pt idx="31">
                  <c:v>153870.57604306555</c:v>
                </c:pt>
                <c:pt idx="32">
                  <c:v>179695.19162346495</c:v>
                </c:pt>
                <c:pt idx="33">
                  <c:v>306239.93827802222</c:v>
                </c:pt>
                <c:pt idx="34">
                  <c:v>224443.00477459619</c:v>
                </c:pt>
                <c:pt idx="35">
                  <c:v>178220.76047097804</c:v>
                </c:pt>
              </c:numCache>
            </c:numRef>
          </c:val>
          <c:extLst>
            <c:ext xmlns:c16="http://schemas.microsoft.com/office/drawing/2014/chart" uri="{C3380CC4-5D6E-409C-BE32-E72D297353CC}">
              <c16:uniqueId val="{00000000-13E1-4948-9C3F-A72630CC073C}"/>
            </c:ext>
          </c:extLst>
        </c:ser>
        <c:ser>
          <c:idx val="3"/>
          <c:order val="3"/>
          <c:tx>
            <c:strRef>
              <c:f>'5-Standalone Chart'!$D$86</c:f>
              <c:strCache>
                <c:ptCount val="1"/>
                <c:pt idx="0">
                  <c:v> Cash Bal-Negative </c:v>
                </c:pt>
              </c:strCache>
            </c:strRef>
          </c:tx>
          <c:spPr>
            <a:solidFill>
              <a:srgbClr val="FF0000"/>
            </a:solidFill>
          </c:spPr>
          <c:cat>
            <c:strRef>
              <c:f>'5-Standalone Chart'!$E$48:$AN$48</c:f>
              <c:strCache>
                <c:ptCount val="36"/>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strCache>
            </c:strRef>
          </c:cat>
          <c:val>
            <c:numRef>
              <c:f>'5-Standalone Chart'!$E$86:$AN$86</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13E1-4948-9C3F-A72630CC073C}"/>
            </c:ext>
          </c:extLst>
        </c:ser>
        <c:dLbls>
          <c:showLegendKey val="0"/>
          <c:showVal val="0"/>
          <c:showCatName val="0"/>
          <c:showSerName val="0"/>
          <c:showPercent val="0"/>
          <c:showBubbleSize val="0"/>
        </c:dLbls>
        <c:axId val="419184688"/>
        <c:axId val="419179200"/>
      </c:areaChart>
      <c:lineChart>
        <c:grouping val="standard"/>
        <c:varyColors val="0"/>
        <c:ser>
          <c:idx val="0"/>
          <c:order val="0"/>
          <c:tx>
            <c:strRef>
              <c:f>'5-Standalone Chart'!$D$66</c:f>
              <c:strCache>
                <c:ptCount val="1"/>
                <c:pt idx="0">
                  <c:v>Inflows</c:v>
                </c:pt>
              </c:strCache>
            </c:strRef>
          </c:tx>
          <c:spPr>
            <a:ln>
              <a:solidFill>
                <a:schemeClr val="tx1"/>
              </a:solidFill>
            </a:ln>
          </c:spPr>
          <c:marker>
            <c:symbol val="none"/>
          </c:marker>
          <c:cat>
            <c:strRef>
              <c:f>'5-Standalone Chart'!$E$48:$AN$48</c:f>
              <c:strCache>
                <c:ptCount val="36"/>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strCache>
            </c:strRef>
          </c:cat>
          <c:val>
            <c:numRef>
              <c:f>'5-Standalone Chart'!$E$66:$AN$66</c:f>
              <c:numCache>
                <c:formatCode>_(* #,##0_);_(* \(#,##0\);_(* "-"??_);_(@_)</c:formatCode>
                <c:ptCount val="36"/>
                <c:pt idx="0">
                  <c:v>46172.302999999993</c:v>
                </c:pt>
                <c:pt idx="1">
                  <c:v>43958.087999999996</c:v>
                </c:pt>
                <c:pt idx="2">
                  <c:v>28151.247000000003</c:v>
                </c:pt>
                <c:pt idx="3">
                  <c:v>136993.61700000003</c:v>
                </c:pt>
                <c:pt idx="4">
                  <c:v>183176.21800000002</c:v>
                </c:pt>
                <c:pt idx="5">
                  <c:v>88699.588000000018</c:v>
                </c:pt>
                <c:pt idx="6">
                  <c:v>35041.089</c:v>
                </c:pt>
                <c:pt idx="7">
                  <c:v>33514.455000000002</c:v>
                </c:pt>
                <c:pt idx="8">
                  <c:v>71247.05799999999</c:v>
                </c:pt>
                <c:pt idx="9">
                  <c:v>218305.36200000002</c:v>
                </c:pt>
                <c:pt idx="10">
                  <c:v>76258.753000000012</c:v>
                </c:pt>
                <c:pt idx="11">
                  <c:v>29948.078999999998</c:v>
                </c:pt>
                <c:pt idx="12">
                  <c:v>29985.359398265711</c:v>
                </c:pt>
                <c:pt idx="13">
                  <c:v>42945.382275923308</c:v>
                </c:pt>
                <c:pt idx="14">
                  <c:v>40183.520940201604</c:v>
                </c:pt>
                <c:pt idx="15">
                  <c:v>137277.75957263735</c:v>
                </c:pt>
                <c:pt idx="16">
                  <c:v>177595.61009977982</c:v>
                </c:pt>
                <c:pt idx="17">
                  <c:v>80689.545049128705</c:v>
                </c:pt>
                <c:pt idx="18">
                  <c:v>41445.164766825575</c:v>
                </c:pt>
                <c:pt idx="19">
                  <c:v>32343.842128982302</c:v>
                </c:pt>
                <c:pt idx="20">
                  <c:v>63207.265981690092</c:v>
                </c:pt>
                <c:pt idx="21">
                  <c:v>210786.61995742455</c:v>
                </c:pt>
                <c:pt idx="22">
                  <c:v>86115.779723207583</c:v>
                </c:pt>
                <c:pt idx="23">
                  <c:v>40088.219245933346</c:v>
                </c:pt>
                <c:pt idx="24">
                  <c:v>30221.362966266821</c:v>
                </c:pt>
                <c:pt idx="25">
                  <c:v>43138.14336538627</c:v>
                </c:pt>
                <c:pt idx="26">
                  <c:v>40593.331782589827</c:v>
                </c:pt>
                <c:pt idx="27">
                  <c:v>141029.86084500875</c:v>
                </c:pt>
                <c:pt idx="28">
                  <c:v>182372.73246788539</c:v>
                </c:pt>
                <c:pt idx="29">
                  <c:v>81047.294399541133</c:v>
                </c:pt>
                <c:pt idx="30">
                  <c:v>41890.22137339136</c:v>
                </c:pt>
                <c:pt idx="31">
                  <c:v>32663.681351204679</c:v>
                </c:pt>
                <c:pt idx="32">
                  <c:v>64723.842640960502</c:v>
                </c:pt>
                <c:pt idx="33">
                  <c:v>216721.46519231889</c:v>
                </c:pt>
                <c:pt idx="34">
                  <c:v>86472.839940880847</c:v>
                </c:pt>
                <c:pt idx="35">
                  <c:v>40406.275332765566</c:v>
                </c:pt>
              </c:numCache>
            </c:numRef>
          </c:val>
          <c:smooth val="0"/>
          <c:extLst>
            <c:ext xmlns:c16="http://schemas.microsoft.com/office/drawing/2014/chart" uri="{C3380CC4-5D6E-409C-BE32-E72D297353CC}">
              <c16:uniqueId val="{00000002-13E1-4948-9C3F-A72630CC073C}"/>
            </c:ext>
          </c:extLst>
        </c:ser>
        <c:ser>
          <c:idx val="1"/>
          <c:order val="1"/>
          <c:tx>
            <c:strRef>
              <c:f>'5-Standalone Chart'!$D$84</c:f>
              <c:strCache>
                <c:ptCount val="1"/>
                <c:pt idx="0">
                  <c:v>Outflows</c:v>
                </c:pt>
              </c:strCache>
            </c:strRef>
          </c:tx>
          <c:spPr>
            <a:ln w="34925">
              <a:solidFill>
                <a:srgbClr val="FF0000"/>
              </a:solidFill>
              <a:prstDash val="dash"/>
            </a:ln>
          </c:spPr>
          <c:marker>
            <c:symbol val="none"/>
          </c:marker>
          <c:cat>
            <c:strRef>
              <c:f>'5-Standalone Chart'!$E$48:$AN$48</c:f>
              <c:strCache>
                <c:ptCount val="36"/>
                <c:pt idx="0">
                  <c:v>JUL-2020</c:v>
                </c:pt>
                <c:pt idx="1">
                  <c:v>AUG-2020</c:v>
                </c:pt>
                <c:pt idx="2">
                  <c:v>SEP-2020</c:v>
                </c:pt>
                <c:pt idx="3">
                  <c:v>OCT-2020</c:v>
                </c:pt>
                <c:pt idx="4">
                  <c:v>NOV-2020</c:v>
                </c:pt>
                <c:pt idx="5">
                  <c:v>DEC-2020</c:v>
                </c:pt>
                <c:pt idx="6">
                  <c:v>JAN-2021</c:v>
                </c:pt>
                <c:pt idx="7">
                  <c:v>FEB-2021</c:v>
                </c:pt>
                <c:pt idx="8">
                  <c:v>MAR-2021</c:v>
                </c:pt>
                <c:pt idx="9">
                  <c:v>APR-2021</c:v>
                </c:pt>
                <c:pt idx="10">
                  <c:v>MAY-2021</c:v>
                </c:pt>
                <c:pt idx="11">
                  <c:v>JUN-2021</c:v>
                </c:pt>
                <c:pt idx="12">
                  <c:v>JUL-2021</c:v>
                </c:pt>
                <c:pt idx="13">
                  <c:v>AUG-2021</c:v>
                </c:pt>
                <c:pt idx="14">
                  <c:v>SEP-2021</c:v>
                </c:pt>
                <c:pt idx="15">
                  <c:v>OCT-2021</c:v>
                </c:pt>
                <c:pt idx="16">
                  <c:v>NOV-2021</c:v>
                </c:pt>
                <c:pt idx="17">
                  <c:v>DEC-2021</c:v>
                </c:pt>
                <c:pt idx="18">
                  <c:v>JAN-2022</c:v>
                </c:pt>
                <c:pt idx="19">
                  <c:v>FEB-2022</c:v>
                </c:pt>
                <c:pt idx="20">
                  <c:v>MAR-2022</c:v>
                </c:pt>
                <c:pt idx="21">
                  <c:v>APR-2022</c:v>
                </c:pt>
                <c:pt idx="22">
                  <c:v>MAY-2022</c:v>
                </c:pt>
                <c:pt idx="23">
                  <c:v>JUN-2022</c:v>
                </c:pt>
                <c:pt idx="24">
                  <c:v>JUL-2022</c:v>
                </c:pt>
                <c:pt idx="25">
                  <c:v>AUG-2022</c:v>
                </c:pt>
                <c:pt idx="26">
                  <c:v>SEP-2022</c:v>
                </c:pt>
                <c:pt idx="27">
                  <c:v>OCT-2022</c:v>
                </c:pt>
                <c:pt idx="28">
                  <c:v>NOV-2022</c:v>
                </c:pt>
                <c:pt idx="29">
                  <c:v>DEC-2022</c:v>
                </c:pt>
                <c:pt idx="30">
                  <c:v>JAN-2023</c:v>
                </c:pt>
                <c:pt idx="31">
                  <c:v>FEB-2023</c:v>
                </c:pt>
                <c:pt idx="32">
                  <c:v>MAR-2023</c:v>
                </c:pt>
                <c:pt idx="33">
                  <c:v>APR-2023</c:v>
                </c:pt>
                <c:pt idx="34">
                  <c:v>MAY-2023</c:v>
                </c:pt>
                <c:pt idx="35">
                  <c:v>JUN-2023</c:v>
                </c:pt>
              </c:strCache>
            </c:strRef>
          </c:cat>
          <c:val>
            <c:numRef>
              <c:f>'5-Standalone Chart'!$E$84:$AN$84</c:f>
              <c:numCache>
                <c:formatCode>_(* #,##0_);_(* \(#,##0\);_(* "-"??_);_(@_)</c:formatCode>
                <c:ptCount val="36"/>
                <c:pt idx="0">
                  <c:v>37230.442999999999</c:v>
                </c:pt>
                <c:pt idx="1">
                  <c:v>68982.453999999998</c:v>
                </c:pt>
                <c:pt idx="2">
                  <c:v>49468.387999999999</c:v>
                </c:pt>
                <c:pt idx="3">
                  <c:v>32020.799999999999</c:v>
                </c:pt>
                <c:pt idx="4">
                  <c:v>83970.700000000012</c:v>
                </c:pt>
                <c:pt idx="5">
                  <c:v>135918.40000000002</c:v>
                </c:pt>
                <c:pt idx="6">
                  <c:v>144180</c:v>
                </c:pt>
                <c:pt idx="7">
                  <c:v>39553.199999999997</c:v>
                </c:pt>
                <c:pt idx="8">
                  <c:v>38701.799999999996</c:v>
                </c:pt>
                <c:pt idx="9">
                  <c:v>84867.700000000012</c:v>
                </c:pt>
                <c:pt idx="10">
                  <c:v>110566.3</c:v>
                </c:pt>
                <c:pt idx="11">
                  <c:v>130970.70000000001</c:v>
                </c:pt>
                <c:pt idx="12">
                  <c:v>39024.236130544741</c:v>
                </c:pt>
                <c:pt idx="13">
                  <c:v>42573.219370467777</c:v>
                </c:pt>
                <c:pt idx="14">
                  <c:v>30904.156770250549</c:v>
                </c:pt>
                <c:pt idx="15">
                  <c:v>34614.452159123888</c:v>
                </c:pt>
                <c:pt idx="16">
                  <c:v>87832.714622932283</c:v>
                </c:pt>
                <c:pt idx="17">
                  <c:v>145340.64884836352</c:v>
                </c:pt>
                <c:pt idx="18">
                  <c:v>142290.13505152156</c:v>
                </c:pt>
                <c:pt idx="19">
                  <c:v>41007.736868756321</c:v>
                </c:pt>
                <c:pt idx="20">
                  <c:v>37649.426003633467</c:v>
                </c:pt>
                <c:pt idx="21">
                  <c:v>87387.655712448206</c:v>
                </c:pt>
                <c:pt idx="22">
                  <c:v>164255.82540974952</c:v>
                </c:pt>
                <c:pt idx="23">
                  <c:v>84003.286716319097</c:v>
                </c:pt>
                <c:pt idx="24">
                  <c:v>40380.901833403681</c:v>
                </c:pt>
                <c:pt idx="25">
                  <c:v>43631.216449469961</c:v>
                </c:pt>
                <c:pt idx="26">
                  <c:v>32028.126605196692</c:v>
                </c:pt>
                <c:pt idx="27">
                  <c:v>35783.833745770142</c:v>
                </c:pt>
                <c:pt idx="28">
                  <c:v>90672.928386277214</c:v>
                </c:pt>
                <c:pt idx="29">
                  <c:v>148709.33542636581</c:v>
                </c:pt>
                <c:pt idx="30">
                  <c:v>146677.09859150191</c:v>
                </c:pt>
                <c:pt idx="31">
                  <c:v>42330.158946112293</c:v>
                </c:pt>
                <c:pt idx="32">
                  <c:v>38899.227060561105</c:v>
                </c:pt>
                <c:pt idx="33">
                  <c:v>90176.718537761597</c:v>
                </c:pt>
                <c:pt idx="34">
                  <c:v>168269.77344430686</c:v>
                </c:pt>
                <c:pt idx="35">
                  <c:v>86628.519636383673</c:v>
                </c:pt>
              </c:numCache>
            </c:numRef>
          </c:val>
          <c:smooth val="0"/>
          <c:extLst>
            <c:ext xmlns:c16="http://schemas.microsoft.com/office/drawing/2014/chart" uri="{C3380CC4-5D6E-409C-BE32-E72D297353CC}">
              <c16:uniqueId val="{00000003-13E1-4948-9C3F-A72630CC073C}"/>
            </c:ext>
          </c:extLst>
        </c:ser>
        <c:dLbls>
          <c:showLegendKey val="0"/>
          <c:showVal val="0"/>
          <c:showCatName val="0"/>
          <c:showSerName val="0"/>
          <c:showPercent val="0"/>
          <c:showBubbleSize val="0"/>
        </c:dLbls>
        <c:marker val="1"/>
        <c:smooth val="0"/>
        <c:axId val="419184688"/>
        <c:axId val="419179200"/>
      </c:lineChart>
      <c:catAx>
        <c:axId val="419184688"/>
        <c:scaling>
          <c:orientation val="minMax"/>
        </c:scaling>
        <c:delete val="0"/>
        <c:axPos val="b"/>
        <c:majorGridlines/>
        <c:numFmt formatCode="General" sourceLinked="0"/>
        <c:majorTickMark val="none"/>
        <c:minorTickMark val="none"/>
        <c:tickLblPos val="nextTo"/>
        <c:crossAx val="419179200"/>
        <c:crosses val="autoZero"/>
        <c:auto val="1"/>
        <c:lblAlgn val="ctr"/>
        <c:lblOffset val="100"/>
        <c:noMultiLvlLbl val="0"/>
      </c:catAx>
      <c:valAx>
        <c:axId val="419179200"/>
        <c:scaling>
          <c:orientation val="minMax"/>
        </c:scaling>
        <c:delete val="0"/>
        <c:axPos val="l"/>
        <c:majorGridlines/>
        <c:title>
          <c:tx>
            <c:rich>
              <a:bodyPr/>
              <a:lstStyle/>
              <a:p>
                <a:pPr>
                  <a:defRPr sz="1800"/>
                </a:pPr>
                <a:r>
                  <a:rPr lang="en-US" sz="1800"/>
                  <a:t>$ THOUSANDS</a:t>
                </a:r>
              </a:p>
            </c:rich>
          </c:tx>
          <c:overlay val="0"/>
        </c:title>
        <c:numFmt formatCode="&quot;$&quot;#,##0" sourceLinked="0"/>
        <c:majorTickMark val="none"/>
        <c:minorTickMark val="none"/>
        <c:tickLblPos val="nextTo"/>
        <c:txPr>
          <a:bodyPr/>
          <a:lstStyle/>
          <a:p>
            <a:pPr>
              <a:defRPr sz="1600"/>
            </a:pPr>
            <a:endParaRPr lang="en-US"/>
          </a:p>
        </c:txPr>
        <c:crossAx val="419184688"/>
        <c:crosses val="autoZero"/>
        <c:crossBetween val="between"/>
      </c:valAx>
      <c:dTable>
        <c:showHorzBorder val="1"/>
        <c:showVertBorder val="1"/>
        <c:showOutline val="1"/>
        <c:showKeys val="1"/>
        <c:txPr>
          <a:bodyPr/>
          <a:lstStyle/>
          <a:p>
            <a:pPr rtl="0">
              <a:defRPr sz="1000"/>
            </a:pPr>
            <a:endParaRPr lang="en-US"/>
          </a:p>
        </c:txPr>
      </c:dTable>
      <c:spPr>
        <a:solidFill>
          <a:schemeClr val="bg1">
            <a:lumMod val="95000"/>
          </a:schemeClr>
        </a:solidFill>
      </c:spPr>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sz="1200" b="1">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47625</xdr:rowOff>
    </xdr:from>
    <xdr:to>
      <xdr:col>39</xdr:col>
      <xdr:colOff>542925</xdr:colOff>
      <xdr:row>38</xdr:row>
      <xdr:rowOff>161925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4</xdr:row>
      <xdr:rowOff>47625</xdr:rowOff>
    </xdr:from>
    <xdr:to>
      <xdr:col>39</xdr:col>
      <xdr:colOff>542925</xdr:colOff>
      <xdr:row>38</xdr:row>
      <xdr:rowOff>161925</xdr:rowOff>
    </xdr:to>
    <xdr:graphicFrame macro="">
      <xdr:nvGraphicFramePr>
        <xdr:cNvPr id="2" name="Chart 1">
          <a:extLst>
            <a:ext uri="{FF2B5EF4-FFF2-40B4-BE49-F238E27FC236}">
              <a16:creationId xmlns:a16="http://schemas.microsoft.com/office/drawing/2014/main" id="{F97CBF7D-53B3-4FF8-998B-D53F72D36D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Users/Chris/Desktop/MuniCast/Pittsburgh%20PA/MuniCast-Pittsburgh%20PA-WIP053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Instructions"/>
      <sheetName val="2-Chart Gallery"/>
      <sheetName val="3-Summary"/>
      <sheetName val="4a-Monthly Charts"/>
      <sheetName val="4c-AcctType Summary"/>
      <sheetName val="4d-DeptGroup Summary"/>
      <sheetName val="5-Sensitivity Analysis"/>
      <sheetName val="6-Scenario Options"/>
      <sheetName val="7-Forecast Assumptions"/>
      <sheetName val="8-Statistical Analysis"/>
      <sheetName val="9-Trend Analysis-Acct Type"/>
      <sheetName val="10-Trend Analysis-Dept"/>
      <sheetName val="11-Revs-Exps-Transfers"/>
      <sheetName val="12-Fund Balances"/>
      <sheetName val="13-Capital Improvements"/>
      <sheetName val="14-Debt Service"/>
      <sheetName val="15-FTE Personnel"/>
      <sheetName val="16-Account Master"/>
    </sheetNames>
    <sheetDataSet>
      <sheetData sheetId="0"/>
      <sheetData sheetId="1" refreshError="1"/>
      <sheetData sheetId="2">
        <row r="99">
          <cell r="D99">
            <v>92.112166999999999</v>
          </cell>
        </row>
        <row r="100">
          <cell r="D100">
            <v>0.20631732255264115</v>
          </cell>
        </row>
        <row r="113">
          <cell r="D113">
            <v>462.56351464000016</v>
          </cell>
        </row>
        <row r="114">
          <cell r="D114">
            <v>446.45871640999945</v>
          </cell>
        </row>
        <row r="124">
          <cell r="D124">
            <v>132.37083142999998</v>
          </cell>
        </row>
        <row r="125">
          <cell r="D125" t="e">
            <v>#DIV/0!</v>
          </cell>
        </row>
        <row r="135">
          <cell r="D135">
            <v>70.753709010000009</v>
          </cell>
        </row>
        <row r="136">
          <cell r="D136" t="e">
            <v>#DIV/0!</v>
          </cell>
        </row>
        <row r="146">
          <cell r="D146">
            <v>52.152917710000004</v>
          </cell>
        </row>
        <row r="147">
          <cell r="D147" t="e">
            <v>#DIV/0!</v>
          </cell>
        </row>
        <row r="157">
          <cell r="D157">
            <v>47.843680949999992</v>
          </cell>
        </row>
        <row r="158">
          <cell r="D158" t="e">
            <v>#DIV/0!</v>
          </cell>
        </row>
        <row r="168">
          <cell r="D168">
            <v>180.48025052</v>
          </cell>
        </row>
        <row r="169">
          <cell r="D169">
            <v>0.40424846438490936</v>
          </cell>
        </row>
        <row r="179">
          <cell r="D179">
            <v>139.07869349999993</v>
          </cell>
        </row>
        <row r="180">
          <cell r="D180">
            <v>0.31151523844878604</v>
          </cell>
        </row>
      </sheetData>
      <sheetData sheetId="3" refreshError="1"/>
      <sheetData sheetId="4">
        <row r="766">
          <cell r="B766" t="str">
            <v>JANUARY</v>
          </cell>
        </row>
      </sheetData>
      <sheetData sheetId="5" refreshError="1"/>
      <sheetData sheetId="6" refreshError="1"/>
      <sheetData sheetId="7">
        <row r="83">
          <cell r="E83">
            <v>462563.51464000018</v>
          </cell>
        </row>
        <row r="84">
          <cell r="E84">
            <v>462563.51464000018</v>
          </cell>
        </row>
        <row r="85">
          <cell r="E85">
            <v>446458.71640999941</v>
          </cell>
        </row>
        <row r="86">
          <cell r="E86">
            <v>446458.71640999941</v>
          </cell>
        </row>
        <row r="89">
          <cell r="E89">
            <v>446458.71640999941</v>
          </cell>
        </row>
        <row r="90">
          <cell r="E90">
            <v>16104.798230000772</v>
          </cell>
        </row>
        <row r="104">
          <cell r="E104">
            <v>92112.167000000001</v>
          </cell>
        </row>
        <row r="105">
          <cell r="E105">
            <v>0</v>
          </cell>
        </row>
        <row r="106">
          <cell r="E106">
            <v>92112.167000000001</v>
          </cell>
        </row>
      </sheetData>
      <sheetData sheetId="8" refreshError="1"/>
      <sheetData sheetId="9">
        <row r="59">
          <cell r="B59" t="str">
            <v>ACCTTYPE</v>
          </cell>
        </row>
      </sheetData>
      <sheetData sheetId="10">
        <row r="7">
          <cell r="I7" t="str">
            <v>INDICATOR</v>
          </cell>
        </row>
      </sheetData>
      <sheetData sheetId="11">
        <row r="61">
          <cell r="D61">
            <v>47.843680949999992</v>
          </cell>
        </row>
        <row r="64">
          <cell r="D64">
            <v>47.843680949999992</v>
          </cell>
        </row>
        <row r="65">
          <cell r="D65">
            <v>47.843680949999992</v>
          </cell>
        </row>
        <row r="68">
          <cell r="D68">
            <v>0</v>
          </cell>
        </row>
        <row r="71">
          <cell r="D71">
            <v>156.25538784868169</v>
          </cell>
        </row>
        <row r="72">
          <cell r="D72">
            <v>156.25538784868169</v>
          </cell>
        </row>
      </sheetData>
      <sheetData sheetId="12">
        <row r="61">
          <cell r="D61">
            <v>0</v>
          </cell>
        </row>
        <row r="62">
          <cell r="D62">
            <v>4132.5986300000013</v>
          </cell>
        </row>
        <row r="65">
          <cell r="D65">
            <v>4132.5986300000013</v>
          </cell>
        </row>
        <row r="66">
          <cell r="D66">
            <v>4132.5986300000013</v>
          </cell>
        </row>
        <row r="69">
          <cell r="D69">
            <v>0</v>
          </cell>
        </row>
        <row r="72">
          <cell r="D72">
            <v>4132.5986300000013</v>
          </cell>
        </row>
        <row r="73">
          <cell r="D73">
            <v>1</v>
          </cell>
        </row>
      </sheetData>
      <sheetData sheetId="13">
        <row r="2">
          <cell r="H2" t="str">
            <v>MANUAL (TABLE A)</v>
          </cell>
        </row>
      </sheetData>
      <sheetData sheetId="14" refreshError="1"/>
      <sheetData sheetId="15" refreshError="1"/>
      <sheetData sheetId="16" refreshError="1"/>
      <sheetData sheetId="17" refreshError="1"/>
      <sheetData sheetId="18">
        <row r="6">
          <cell r="D6">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unicas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57"/>
  <sheetViews>
    <sheetView tabSelected="1" workbookViewId="0">
      <pane ySplit="1" topLeftCell="A2" activePane="bottomLeft" state="frozen"/>
      <selection pane="bottomLeft"/>
    </sheetView>
  </sheetViews>
  <sheetFormatPr defaultColWidth="8.6640625" defaultRowHeight="15" x14ac:dyDescent="0.25"/>
  <cols>
    <col min="1" max="1" width="3" style="63" customWidth="1"/>
    <col min="2" max="2" width="147.109375" style="66" customWidth="1"/>
    <col min="3" max="16384" width="8.6640625" style="63"/>
  </cols>
  <sheetData>
    <row r="1" spans="2:2" ht="15.6" x14ac:dyDescent="0.25">
      <c r="B1" s="67" t="s">
        <v>147</v>
      </c>
    </row>
    <row r="2" spans="2:2" ht="15.6" x14ac:dyDescent="0.25">
      <c r="B2" s="62"/>
    </row>
    <row r="3" spans="2:2" ht="105.6" x14ac:dyDescent="0.25">
      <c r="B3" s="77" t="s">
        <v>162</v>
      </c>
    </row>
    <row r="4" spans="2:2" x14ac:dyDescent="0.25">
      <c r="B4" s="77"/>
    </row>
    <row r="5" spans="2:2" ht="46.2" x14ac:dyDescent="0.25">
      <c r="B5" s="78" t="s">
        <v>104</v>
      </c>
    </row>
    <row r="6" spans="2:2" x14ac:dyDescent="0.25">
      <c r="B6" s="78"/>
    </row>
    <row r="7" spans="2:2" x14ac:dyDescent="0.25">
      <c r="B7" s="77" t="s">
        <v>139</v>
      </c>
    </row>
    <row r="8" spans="2:2" ht="15.6" thickBot="1" x14ac:dyDescent="0.3">
      <c r="B8" s="64"/>
    </row>
    <row r="9" spans="2:2" ht="15.6" x14ac:dyDescent="0.25">
      <c r="B9" s="128" t="s">
        <v>149</v>
      </c>
    </row>
    <row r="10" spans="2:2" ht="45.6" thickBot="1" x14ac:dyDescent="0.3">
      <c r="B10" s="127" t="s">
        <v>151</v>
      </c>
    </row>
    <row r="11" spans="2:2" ht="15.6" thickBot="1" x14ac:dyDescent="0.3">
      <c r="B11" s="64"/>
    </row>
    <row r="12" spans="2:2" ht="15.6" x14ac:dyDescent="0.25">
      <c r="B12" s="128" t="s">
        <v>148</v>
      </c>
    </row>
    <row r="13" spans="2:2" ht="60.6" thickBot="1" x14ac:dyDescent="0.3">
      <c r="B13" s="127" t="s">
        <v>157</v>
      </c>
    </row>
    <row r="14" spans="2:2" ht="15.6" thickBot="1" x14ac:dyDescent="0.3">
      <c r="B14" s="64"/>
    </row>
    <row r="15" spans="2:2" ht="15.6" x14ac:dyDescent="0.25">
      <c r="B15" s="128" t="s">
        <v>150</v>
      </c>
    </row>
    <row r="16" spans="2:2" ht="46.2" thickBot="1" x14ac:dyDescent="0.3">
      <c r="B16" s="127" t="s">
        <v>173</v>
      </c>
    </row>
    <row r="17" spans="2:2" ht="15.6" thickBot="1" x14ac:dyDescent="0.3">
      <c r="B17" s="64"/>
    </row>
    <row r="18" spans="2:2" ht="15.6" x14ac:dyDescent="0.25">
      <c r="B18" s="128" t="s">
        <v>154</v>
      </c>
    </row>
    <row r="19" spans="2:2" ht="60.6" thickBot="1" x14ac:dyDescent="0.3">
      <c r="B19" s="127" t="s">
        <v>158</v>
      </c>
    </row>
    <row r="20" spans="2:2" x14ac:dyDescent="0.25">
      <c r="B20" s="64"/>
    </row>
    <row r="21" spans="2:2" ht="15.6" x14ac:dyDescent="0.25">
      <c r="B21" s="65" t="s">
        <v>89</v>
      </c>
    </row>
    <row r="22" spans="2:2" ht="15.6" x14ac:dyDescent="0.25">
      <c r="B22" s="65"/>
    </row>
    <row r="23" spans="2:2" ht="15.6" x14ac:dyDescent="0.25">
      <c r="B23" s="129" t="s">
        <v>155</v>
      </c>
    </row>
    <row r="24" spans="2:2" ht="15.6" x14ac:dyDescent="0.25">
      <c r="B24" s="65"/>
    </row>
    <row r="25" spans="2:2" ht="15.6" x14ac:dyDescent="0.25">
      <c r="B25" s="64" t="s">
        <v>152</v>
      </c>
    </row>
    <row r="26" spans="2:2" x14ac:dyDescent="0.25">
      <c r="B26" s="64"/>
    </row>
    <row r="27" spans="2:2" ht="15.6" x14ac:dyDescent="0.25">
      <c r="B27" s="64" t="s">
        <v>153</v>
      </c>
    </row>
    <row r="28" spans="2:2" x14ac:dyDescent="0.25">
      <c r="B28" s="64"/>
    </row>
    <row r="29" spans="2:2" ht="46.8" x14ac:dyDescent="0.25">
      <c r="B29" s="65" t="s">
        <v>178</v>
      </c>
    </row>
    <row r="30" spans="2:2" ht="15.6" x14ac:dyDescent="0.25">
      <c r="B30" s="65"/>
    </row>
    <row r="31" spans="2:2" ht="15.6" x14ac:dyDescent="0.25">
      <c r="B31" s="65" t="s">
        <v>179</v>
      </c>
    </row>
    <row r="32" spans="2:2" ht="15.6" x14ac:dyDescent="0.25">
      <c r="B32" s="65"/>
    </row>
    <row r="33" spans="2:2" ht="45.6" x14ac:dyDescent="0.25">
      <c r="B33" s="65" t="s">
        <v>180</v>
      </c>
    </row>
    <row r="34" spans="2:2" ht="15.6" x14ac:dyDescent="0.25">
      <c r="B34" s="65"/>
    </row>
    <row r="35" spans="2:2" ht="30.6" x14ac:dyDescent="0.25">
      <c r="B35" s="65" t="s">
        <v>181</v>
      </c>
    </row>
    <row r="36" spans="2:2" ht="15.6" x14ac:dyDescent="0.25">
      <c r="B36" s="65"/>
    </row>
    <row r="37" spans="2:2" ht="45.6" x14ac:dyDescent="0.25">
      <c r="B37" s="65" t="s">
        <v>182</v>
      </c>
    </row>
    <row r="38" spans="2:2" ht="15.6" x14ac:dyDescent="0.25">
      <c r="B38" s="65"/>
    </row>
    <row r="39" spans="2:2" ht="45" x14ac:dyDescent="0.25">
      <c r="B39" s="64" t="s">
        <v>183</v>
      </c>
    </row>
    <row r="40" spans="2:2" ht="15.6" x14ac:dyDescent="0.25">
      <c r="B40" s="65"/>
    </row>
    <row r="41" spans="2:2" ht="15.6" x14ac:dyDescent="0.25">
      <c r="B41" s="65" t="s">
        <v>185</v>
      </c>
    </row>
    <row r="42" spans="2:2" ht="15.6" x14ac:dyDescent="0.25">
      <c r="B42" s="65"/>
    </row>
    <row r="43" spans="2:2" ht="31.2" x14ac:dyDescent="0.25">
      <c r="B43" s="65" t="s">
        <v>184</v>
      </c>
    </row>
    <row r="44" spans="2:2" ht="15.6" x14ac:dyDescent="0.25">
      <c r="B44" s="65"/>
    </row>
    <row r="45" spans="2:2" ht="15.6" x14ac:dyDescent="0.25">
      <c r="B45" s="65" t="s">
        <v>90</v>
      </c>
    </row>
    <row r="46" spans="2:2" ht="30.6" x14ac:dyDescent="0.25">
      <c r="B46" s="64" t="s">
        <v>156</v>
      </c>
    </row>
    <row r="47" spans="2:2" x14ac:dyDescent="0.25">
      <c r="B47" s="64"/>
    </row>
    <row r="48" spans="2:2" ht="15.6" x14ac:dyDescent="0.25">
      <c r="B48" s="65" t="s">
        <v>216</v>
      </c>
    </row>
    <row r="49" spans="2:2" ht="22.2" customHeight="1" x14ac:dyDescent="0.25">
      <c r="B49" s="64" t="s">
        <v>217</v>
      </c>
    </row>
    <row r="50" spans="2:2" x14ac:dyDescent="0.25">
      <c r="B50" s="64"/>
    </row>
    <row r="51" spans="2:2" ht="15.6" x14ac:dyDescent="0.25">
      <c r="B51" s="65" t="s">
        <v>218</v>
      </c>
    </row>
    <row r="52" spans="2:2" ht="22.2" customHeight="1" x14ac:dyDescent="0.25">
      <c r="B52" s="64" t="s">
        <v>219</v>
      </c>
    </row>
    <row r="53" spans="2:2" ht="22.2" customHeight="1" x14ac:dyDescent="0.25">
      <c r="B53" s="64"/>
    </row>
    <row r="54" spans="2:2" ht="15.6" x14ac:dyDescent="0.25">
      <c r="B54" s="62" t="s">
        <v>91</v>
      </c>
    </row>
    <row r="55" spans="2:2" ht="30" x14ac:dyDescent="0.25">
      <c r="B55" s="64" t="s">
        <v>105</v>
      </c>
    </row>
    <row r="57" spans="2:2" x14ac:dyDescent="0.25">
      <c r="B57" s="68"/>
    </row>
  </sheetData>
  <sheetProtection algorithmName="SHA-512" hashValue="csiT5ESoAPb72I8AWBIaaxrXa6JmVJ+qEBtWq7PihlEmGfhHaKkiQM49wslBNloevTD6WzYW4oTf8lSZqJVklQ==" saltValue="Div47tNS8NQ3TWInsfqjyw==" spinCount="100000" sheet="1" objects="1" scenarios="1"/>
  <hyperlinks>
    <hyperlink ref="B5" r:id="rId1" display="http://www.municast.com/" xr:uid="{00000000-0004-0000-0000-000000000000}"/>
  </hyperlinks>
  <pageMargins left="0.7" right="0.7" top="0.75" bottom="0.75" header="0.3" footer="0.3"/>
  <pageSetup scale="49" orientation="portrait" r:id="rId2"/>
  <headerFooter>
    <oddHeader>&amp;F</oddHeader>
    <oddFooter>&amp;C&amp;A&amp;R&amp;N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412"/>
  <sheetViews>
    <sheetView workbookViewId="0">
      <pane ySplit="4" topLeftCell="A5" activePane="bottomLeft" state="frozen"/>
      <selection pane="bottomLeft" activeCell="B2" sqref="B2"/>
    </sheetView>
  </sheetViews>
  <sheetFormatPr defaultColWidth="8.6640625" defaultRowHeight="14.4" x14ac:dyDescent="0.3"/>
  <cols>
    <col min="1" max="1" width="34.6640625" style="4" customWidth="1"/>
    <col min="2" max="2" width="15.21875" style="4" customWidth="1"/>
    <col min="3" max="7" width="12.6640625" style="4" customWidth="1"/>
    <col min="8" max="8" width="14.21875" style="4" customWidth="1"/>
    <col min="9" max="14" width="12.6640625" style="4" customWidth="1"/>
    <col min="15" max="15" width="7.88671875" style="4" customWidth="1"/>
    <col min="16" max="16" width="13.6640625" style="4" bestFit="1" customWidth="1"/>
    <col min="17" max="17" width="10" style="4" customWidth="1"/>
    <col min="18" max="16384" width="8.6640625" style="4"/>
  </cols>
  <sheetData>
    <row r="1" spans="1:27" ht="16.2" thickBot="1" x14ac:dyDescent="0.35">
      <c r="A1" s="36" t="s">
        <v>5</v>
      </c>
      <c r="B1" s="75" t="s">
        <v>103</v>
      </c>
      <c r="D1" s="37" t="s">
        <v>11</v>
      </c>
      <c r="E1" s="37"/>
      <c r="F1" s="37"/>
      <c r="G1" s="37"/>
    </row>
    <row r="2" spans="1:27" ht="15" thickBot="1" x14ac:dyDescent="0.35">
      <c r="A2" s="11" t="s">
        <v>144</v>
      </c>
      <c r="B2" s="187" t="s">
        <v>191</v>
      </c>
    </row>
    <row r="3" spans="1:27" ht="15" thickBot="1" x14ac:dyDescent="0.35">
      <c r="A3" s="11" t="s">
        <v>145</v>
      </c>
      <c r="B3" s="173" t="s">
        <v>146</v>
      </c>
      <c r="C3" s="174"/>
    </row>
    <row r="4" spans="1:27" x14ac:dyDescent="0.3">
      <c r="A4" s="10" t="s">
        <v>164</v>
      </c>
      <c r="B4" s="10"/>
    </row>
    <row r="6" spans="1:27" x14ac:dyDescent="0.3">
      <c r="A6" s="37" t="s">
        <v>169</v>
      </c>
      <c r="B6" s="37"/>
      <c r="C6" s="42"/>
      <c r="D6" s="42"/>
    </row>
    <row r="7" spans="1:27" x14ac:dyDescent="0.3">
      <c r="A7" s="38"/>
      <c r="B7" s="39" t="str">
        <f>CONCATENATE("TOTAL-",(RIGHT(B$141,4)-1))</f>
        <v>TOTAL-2020</v>
      </c>
      <c r="C7" s="39" t="str">
        <f>CONCATENATE(LEFT(C$141,4),(RIGHT(C$141,4)-1))</f>
        <v>JUL-2019</v>
      </c>
      <c r="D7" s="39" t="str">
        <f t="shared" ref="D7:N7" si="0">CONCATENATE(LEFT(D$141,4),(RIGHT(D$141,4)-1))</f>
        <v>AUG-2019</v>
      </c>
      <c r="E7" s="39" t="str">
        <f t="shared" si="0"/>
        <v>SEP-2019</v>
      </c>
      <c r="F7" s="39" t="str">
        <f t="shared" si="0"/>
        <v>OCT-2019</v>
      </c>
      <c r="G7" s="39" t="str">
        <f t="shared" si="0"/>
        <v>NOV-2019</v>
      </c>
      <c r="H7" s="39" t="str">
        <f t="shared" si="0"/>
        <v>DEC-2019</v>
      </c>
      <c r="I7" s="39" t="str">
        <f t="shared" si="0"/>
        <v>JAN-2020</v>
      </c>
      <c r="J7" s="39" t="str">
        <f t="shared" si="0"/>
        <v>FEB-2020</v>
      </c>
      <c r="K7" s="39" t="str">
        <f t="shared" si="0"/>
        <v>MAR-2020</v>
      </c>
      <c r="L7" s="39" t="str">
        <f t="shared" si="0"/>
        <v>APR-2020</v>
      </c>
      <c r="M7" s="39" t="str">
        <f t="shared" si="0"/>
        <v>MAY-2020</v>
      </c>
      <c r="N7" s="39" t="str">
        <f t="shared" si="0"/>
        <v>JUN-2020</v>
      </c>
    </row>
    <row r="8" spans="1:27" x14ac:dyDescent="0.3">
      <c r="A8" s="10" t="s">
        <v>6</v>
      </c>
      <c r="B8" s="10"/>
    </row>
    <row r="9" spans="1:27" x14ac:dyDescent="0.3">
      <c r="A9" s="73" t="s">
        <v>19</v>
      </c>
      <c r="B9" s="101">
        <f>SUM(C9:N9)</f>
        <v>547422147</v>
      </c>
      <c r="C9" s="102">
        <f>782559+1478288</f>
        <v>2260847</v>
      </c>
      <c r="D9" s="102">
        <f>392573+1189810</f>
        <v>1582383</v>
      </c>
      <c r="E9" s="102">
        <f>7627677+2850348</f>
        <v>10478025</v>
      </c>
      <c r="F9" s="102">
        <f>27360223+90116534</f>
        <v>117476757</v>
      </c>
      <c r="G9" s="102">
        <f>135419822+17490338</f>
        <v>152910160</v>
      </c>
      <c r="H9" s="102">
        <f>3471993+2216783</f>
        <v>5688776</v>
      </c>
      <c r="I9" s="102">
        <f>1550934+2417923</f>
        <v>3968857</v>
      </c>
      <c r="J9" s="102">
        <f>2960294+2681854</f>
        <v>5642148</v>
      </c>
      <c r="K9" s="102">
        <f>18803083+27679452</f>
        <v>46482535</v>
      </c>
      <c r="L9" s="102">
        <f>113608431+77819374</f>
        <v>191427805</v>
      </c>
      <c r="M9" s="102">
        <f>2936172+1817757</f>
        <v>4753929</v>
      </c>
      <c r="N9" s="102">
        <f>2707167+2042758</f>
        <v>4749925</v>
      </c>
      <c r="P9" s="35"/>
      <c r="Q9" s="35"/>
      <c r="R9" s="35"/>
      <c r="S9" s="35"/>
      <c r="T9" s="35"/>
      <c r="U9" s="35"/>
      <c r="V9" s="35"/>
      <c r="W9" s="35"/>
      <c r="X9" s="35"/>
      <c r="Y9" s="35"/>
      <c r="Z9" s="35"/>
      <c r="AA9" s="35"/>
    </row>
    <row r="10" spans="1:27" x14ac:dyDescent="0.3">
      <c r="A10" s="73" t="s">
        <v>120</v>
      </c>
      <c r="B10" s="101">
        <f t="shared" ref="B10:B38" si="1">SUM(C10:N10)</f>
        <v>0</v>
      </c>
      <c r="C10" s="102">
        <v>0</v>
      </c>
      <c r="D10" s="102"/>
      <c r="E10" s="102"/>
      <c r="F10" s="102"/>
      <c r="G10" s="102"/>
      <c r="H10" s="102"/>
      <c r="I10" s="102"/>
      <c r="J10" s="102"/>
      <c r="K10" s="102"/>
      <c r="L10" s="102"/>
      <c r="M10" s="102"/>
      <c r="N10" s="102"/>
      <c r="P10" s="35"/>
      <c r="Q10" s="35"/>
      <c r="R10" s="35"/>
      <c r="S10" s="35"/>
      <c r="T10" s="35"/>
      <c r="U10" s="35"/>
      <c r="V10" s="35"/>
      <c r="W10" s="35"/>
      <c r="X10" s="35"/>
      <c r="Y10" s="35"/>
      <c r="Z10" s="35"/>
      <c r="AA10" s="35"/>
    </row>
    <row r="11" spans="1:27" x14ac:dyDescent="0.3">
      <c r="A11" s="73" t="s">
        <v>121</v>
      </c>
      <c r="B11" s="101">
        <f t="shared" si="1"/>
        <v>0</v>
      </c>
      <c r="C11" s="102">
        <v>0</v>
      </c>
      <c r="D11" s="102"/>
      <c r="E11" s="102"/>
      <c r="F11" s="102"/>
      <c r="G11" s="102"/>
      <c r="H11" s="102"/>
      <c r="I11" s="102"/>
      <c r="J11" s="102"/>
      <c r="K11" s="102"/>
      <c r="L11" s="102"/>
      <c r="M11" s="102"/>
      <c r="N11" s="102"/>
      <c r="P11" s="35"/>
      <c r="Q11" s="35"/>
      <c r="R11" s="35"/>
      <c r="S11" s="35"/>
      <c r="T11" s="35"/>
      <c r="U11" s="35"/>
      <c r="V11" s="35"/>
      <c r="W11" s="35"/>
      <c r="X11" s="35"/>
      <c r="Y11" s="35"/>
      <c r="Z11" s="35"/>
      <c r="AA11" s="35"/>
    </row>
    <row r="12" spans="1:27" x14ac:dyDescent="0.3">
      <c r="A12" s="73" t="s">
        <v>134</v>
      </c>
      <c r="B12" s="101">
        <f t="shared" si="1"/>
        <v>99653142</v>
      </c>
      <c r="C12" s="102">
        <v>0</v>
      </c>
      <c r="D12" s="102"/>
      <c r="E12" s="102"/>
      <c r="F12" s="102"/>
      <c r="G12" s="102"/>
      <c r="H12" s="102">
        <v>49826571</v>
      </c>
      <c r="I12" s="102"/>
      <c r="J12" s="102"/>
      <c r="K12" s="102"/>
      <c r="L12" s="102"/>
      <c r="M12" s="102">
        <v>49826571</v>
      </c>
      <c r="N12" s="102"/>
      <c r="P12" s="35"/>
      <c r="Q12" s="35"/>
      <c r="R12" s="35"/>
      <c r="S12" s="35"/>
      <c r="T12" s="35"/>
      <c r="U12" s="35"/>
      <c r="V12" s="35"/>
      <c r="W12" s="35"/>
      <c r="X12" s="35"/>
      <c r="Y12" s="35"/>
      <c r="Z12" s="35"/>
      <c r="AA12" s="35"/>
    </row>
    <row r="13" spans="1:27" x14ac:dyDescent="0.3">
      <c r="A13" s="73" t="s">
        <v>122</v>
      </c>
      <c r="B13" s="101">
        <f t="shared" si="1"/>
        <v>0</v>
      </c>
      <c r="C13" s="102">
        <v>0</v>
      </c>
      <c r="D13" s="102"/>
      <c r="E13" s="102"/>
      <c r="F13" s="102"/>
      <c r="G13" s="102"/>
      <c r="H13" s="102"/>
      <c r="I13" s="102"/>
      <c r="J13" s="102"/>
      <c r="K13" s="102"/>
      <c r="L13" s="102"/>
      <c r="M13" s="102"/>
      <c r="N13" s="102"/>
      <c r="P13" s="35"/>
      <c r="Q13" s="35"/>
      <c r="R13" s="35"/>
      <c r="S13" s="35"/>
      <c r="T13" s="35"/>
      <c r="U13" s="35"/>
      <c r="V13" s="35"/>
      <c r="W13" s="35"/>
      <c r="X13" s="35"/>
      <c r="Y13" s="35"/>
      <c r="Z13" s="35"/>
      <c r="AA13" s="35"/>
    </row>
    <row r="14" spans="1:27" x14ac:dyDescent="0.3">
      <c r="A14" s="73" t="s">
        <v>125</v>
      </c>
      <c r="B14" s="101">
        <f t="shared" si="1"/>
        <v>0</v>
      </c>
      <c r="C14" s="102">
        <v>0</v>
      </c>
      <c r="D14" s="102"/>
      <c r="E14" s="102"/>
      <c r="F14" s="102"/>
      <c r="G14" s="102"/>
      <c r="H14" s="102"/>
      <c r="I14" s="102"/>
      <c r="J14" s="102"/>
      <c r="K14" s="102"/>
      <c r="L14" s="102"/>
      <c r="M14" s="102"/>
      <c r="N14" s="102"/>
      <c r="P14" s="35"/>
      <c r="Q14" s="35"/>
      <c r="R14" s="35"/>
      <c r="S14" s="35"/>
      <c r="T14" s="35"/>
      <c r="U14" s="35"/>
      <c r="V14" s="35"/>
      <c r="W14" s="35"/>
      <c r="X14" s="35"/>
      <c r="Y14" s="35"/>
      <c r="Z14" s="35"/>
      <c r="AA14" s="35"/>
    </row>
    <row r="15" spans="1:27" x14ac:dyDescent="0.3">
      <c r="A15" s="73" t="s">
        <v>126</v>
      </c>
      <c r="B15" s="101">
        <f t="shared" si="1"/>
        <v>239927511</v>
      </c>
      <c r="C15" s="102">
        <v>11213514</v>
      </c>
      <c r="D15" s="102">
        <v>29971265</v>
      </c>
      <c r="E15" s="102">
        <v>15312989</v>
      </c>
      <c r="F15" s="102">
        <v>12599735</v>
      </c>
      <c r="G15" s="102">
        <v>21256262</v>
      </c>
      <c r="H15" s="102">
        <v>27711694</v>
      </c>
      <c r="I15" s="102">
        <v>27795974</v>
      </c>
      <c r="J15" s="102">
        <v>23062163</v>
      </c>
      <c r="K15" s="102">
        <v>15477242</v>
      </c>
      <c r="L15" s="102">
        <v>14929560</v>
      </c>
      <c r="M15" s="102">
        <v>18459027</v>
      </c>
      <c r="N15" s="102">
        <v>22138086</v>
      </c>
      <c r="P15" s="35"/>
      <c r="Q15" s="35"/>
      <c r="R15" s="35"/>
      <c r="S15" s="35"/>
      <c r="T15" s="35"/>
      <c r="U15" s="35"/>
      <c r="V15" s="35"/>
      <c r="W15" s="35"/>
      <c r="X15" s="35"/>
      <c r="Y15" s="35"/>
      <c r="Z15" s="35"/>
      <c r="AA15" s="35"/>
    </row>
    <row r="16" spans="1:27" x14ac:dyDescent="0.3">
      <c r="A16" s="73" t="s">
        <v>123</v>
      </c>
      <c r="B16" s="101">
        <f t="shared" si="1"/>
        <v>0</v>
      </c>
      <c r="C16" s="102">
        <v>0</v>
      </c>
      <c r="D16" s="102"/>
      <c r="E16" s="102"/>
      <c r="F16" s="102"/>
      <c r="G16" s="102"/>
      <c r="H16" s="102"/>
      <c r="I16" s="102"/>
      <c r="J16" s="102"/>
      <c r="K16" s="102"/>
      <c r="L16" s="102"/>
      <c r="M16" s="102"/>
      <c r="N16" s="102"/>
      <c r="P16" s="35"/>
      <c r="Q16" s="35"/>
      <c r="R16" s="35"/>
      <c r="S16" s="35"/>
      <c r="T16" s="35"/>
      <c r="U16" s="35"/>
      <c r="V16" s="35"/>
      <c r="W16" s="35"/>
      <c r="X16" s="35"/>
      <c r="Y16" s="35"/>
      <c r="Z16" s="35"/>
      <c r="AA16" s="35"/>
    </row>
    <row r="17" spans="1:27" x14ac:dyDescent="0.3">
      <c r="A17" s="73" t="s">
        <v>174</v>
      </c>
      <c r="B17" s="101">
        <f t="shared" si="1"/>
        <v>7036993</v>
      </c>
      <c r="C17" s="102">
        <v>659975</v>
      </c>
      <c r="D17" s="102">
        <v>809671</v>
      </c>
      <c r="E17" s="102">
        <v>359175</v>
      </c>
      <c r="F17" s="102">
        <v>245455</v>
      </c>
      <c r="G17" s="102">
        <v>345587</v>
      </c>
      <c r="H17" s="102">
        <v>513543</v>
      </c>
      <c r="I17" s="102">
        <v>737040</v>
      </c>
      <c r="J17" s="102">
        <v>1008912</v>
      </c>
      <c r="K17" s="102">
        <v>402038</v>
      </c>
      <c r="L17" s="102">
        <v>400930</v>
      </c>
      <c r="M17" s="102">
        <v>844019</v>
      </c>
      <c r="N17" s="102">
        <v>710648</v>
      </c>
      <c r="P17" s="35"/>
      <c r="Q17" s="35"/>
      <c r="R17" s="35"/>
      <c r="S17" s="35"/>
      <c r="T17" s="35"/>
      <c r="U17" s="35"/>
      <c r="V17" s="35"/>
      <c r="W17" s="35"/>
      <c r="X17" s="35"/>
      <c r="Y17" s="35"/>
      <c r="Z17" s="35"/>
      <c r="AA17" s="35"/>
    </row>
    <row r="18" spans="1:27" x14ac:dyDescent="0.3">
      <c r="A18" s="73" t="s">
        <v>127</v>
      </c>
      <c r="B18" s="101">
        <f t="shared" si="1"/>
        <v>0</v>
      </c>
      <c r="C18" s="102">
        <v>0</v>
      </c>
      <c r="D18" s="102"/>
      <c r="E18" s="102"/>
      <c r="F18" s="102"/>
      <c r="G18" s="102"/>
      <c r="H18" s="102"/>
      <c r="I18" s="102"/>
      <c r="J18" s="102"/>
      <c r="K18" s="102"/>
      <c r="L18" s="102"/>
      <c r="M18" s="102"/>
      <c r="N18" s="102"/>
      <c r="P18" s="35"/>
      <c r="Q18" s="35"/>
      <c r="R18" s="35"/>
      <c r="S18" s="35"/>
      <c r="T18" s="35"/>
      <c r="U18" s="35"/>
      <c r="V18" s="35"/>
      <c r="W18" s="35"/>
      <c r="X18" s="35"/>
      <c r="Y18" s="35"/>
      <c r="Z18" s="35"/>
      <c r="AA18" s="35"/>
    </row>
    <row r="19" spans="1:27" x14ac:dyDescent="0.3">
      <c r="A19" s="73" t="s">
        <v>124</v>
      </c>
      <c r="B19" s="101">
        <f t="shared" si="1"/>
        <v>0</v>
      </c>
      <c r="C19" s="102">
        <v>0</v>
      </c>
      <c r="D19" s="102"/>
      <c r="E19" s="102"/>
      <c r="F19" s="102"/>
      <c r="G19" s="102"/>
      <c r="H19" s="102"/>
      <c r="I19" s="102"/>
      <c r="J19" s="102"/>
      <c r="K19" s="102"/>
      <c r="L19" s="102"/>
      <c r="M19" s="102"/>
      <c r="N19" s="102"/>
      <c r="P19" s="35"/>
      <c r="Q19" s="35"/>
      <c r="R19" s="35"/>
      <c r="S19" s="35"/>
      <c r="T19" s="35"/>
      <c r="U19" s="35"/>
      <c r="V19" s="35"/>
      <c r="W19" s="35"/>
      <c r="X19" s="35"/>
      <c r="Y19" s="35"/>
      <c r="Z19" s="35"/>
      <c r="AA19" s="35"/>
    </row>
    <row r="20" spans="1:27" x14ac:dyDescent="0.3">
      <c r="A20" s="73" t="s">
        <v>175</v>
      </c>
      <c r="B20" s="101">
        <f t="shared" si="1"/>
        <v>71767798.629999995</v>
      </c>
      <c r="C20" s="102">
        <f>21673331-C17</f>
        <v>21013356</v>
      </c>
      <c r="D20" s="102">
        <f>15253452-D17</f>
        <v>14443781</v>
      </c>
      <c r="E20" s="102">
        <v>0</v>
      </c>
      <c r="F20" s="102">
        <f>3012667.5-F17</f>
        <v>2767212.5</v>
      </c>
      <c r="G20" s="102">
        <v>0</v>
      </c>
      <c r="H20" s="102">
        <v>0</v>
      </c>
      <c r="I20" s="102">
        <f>1834703.65-I17</f>
        <v>1097663.6499999999</v>
      </c>
      <c r="J20" s="102">
        <f>4621439.75-J17</f>
        <v>3612527.75</v>
      </c>
      <c r="K20" s="102">
        <f>5341350.69-K17</f>
        <v>4939312.6900000004</v>
      </c>
      <c r="L20" s="102">
        <f>3135367.5-L17</f>
        <v>2734437.5</v>
      </c>
      <c r="M20" s="102">
        <f>15818120.1-M17</f>
        <v>14974101.1</v>
      </c>
      <c r="N20" s="102">
        <f>6896054.44-N17</f>
        <v>6185406.4400000004</v>
      </c>
      <c r="P20" s="35"/>
      <c r="Q20" s="35"/>
      <c r="R20" s="35"/>
      <c r="S20" s="35"/>
      <c r="T20" s="35"/>
      <c r="U20" s="35"/>
      <c r="V20" s="35"/>
      <c r="W20" s="35"/>
      <c r="X20" s="35"/>
      <c r="Y20" s="35"/>
      <c r="Z20" s="35"/>
      <c r="AA20" s="35"/>
    </row>
    <row r="21" spans="1:27" x14ac:dyDescent="0.3">
      <c r="A21" s="73" t="s">
        <v>128</v>
      </c>
      <c r="B21" s="101">
        <f t="shared" si="1"/>
        <v>12601073</v>
      </c>
      <c r="C21" s="102">
        <f>956000+74800</f>
        <v>1030800</v>
      </c>
      <c r="D21" s="102">
        <f>1055000+59514</f>
        <v>1114514</v>
      </c>
      <c r="E21" s="102">
        <v>891995</v>
      </c>
      <c r="F21" s="102">
        <v>805100</v>
      </c>
      <c r="G21" s="102">
        <v>1004304</v>
      </c>
      <c r="H21" s="102">
        <v>1018534</v>
      </c>
      <c r="I21" s="102">
        <v>1079437</v>
      </c>
      <c r="J21" s="102">
        <v>1107756</v>
      </c>
      <c r="K21" s="102">
        <v>1224723</v>
      </c>
      <c r="L21" s="102">
        <v>1131095</v>
      </c>
      <c r="M21" s="102">
        <v>1107699</v>
      </c>
      <c r="N21" s="102">
        <v>1085116</v>
      </c>
      <c r="P21" s="35"/>
      <c r="Q21" s="35"/>
      <c r="R21" s="35"/>
      <c r="S21" s="35"/>
      <c r="T21" s="35"/>
      <c r="U21" s="35"/>
      <c r="V21" s="35"/>
      <c r="W21" s="35"/>
      <c r="X21" s="35"/>
      <c r="Y21" s="35"/>
      <c r="Z21" s="35"/>
      <c r="AA21" s="35"/>
    </row>
    <row r="22" spans="1:27" x14ac:dyDescent="0.3">
      <c r="A22" s="73" t="s">
        <v>129</v>
      </c>
      <c r="B22" s="101">
        <f t="shared" si="1"/>
        <v>4479670</v>
      </c>
      <c r="C22" s="102">
        <v>218517</v>
      </c>
      <c r="D22" s="102">
        <v>118091</v>
      </c>
      <c r="E22" s="102">
        <v>105958</v>
      </c>
      <c r="F22" s="102">
        <v>142873</v>
      </c>
      <c r="G22" s="102">
        <v>305978</v>
      </c>
      <c r="H22" s="102">
        <v>767017</v>
      </c>
      <c r="I22" s="102">
        <v>1390685</v>
      </c>
      <c r="J22" s="102">
        <v>957643</v>
      </c>
      <c r="K22" s="102">
        <v>270555</v>
      </c>
      <c r="L22" s="102">
        <v>106112</v>
      </c>
      <c r="M22" s="102">
        <v>17769</v>
      </c>
      <c r="N22" s="102">
        <v>78472</v>
      </c>
      <c r="P22" s="35"/>
      <c r="Q22" s="35"/>
      <c r="R22" s="35"/>
      <c r="S22" s="35"/>
      <c r="T22" s="35"/>
      <c r="U22" s="35"/>
      <c r="V22" s="35"/>
      <c r="W22" s="35"/>
      <c r="X22" s="35"/>
      <c r="Y22" s="35"/>
      <c r="Z22" s="35"/>
      <c r="AA22" s="35"/>
    </row>
    <row r="23" spans="1:27" x14ac:dyDescent="0.3">
      <c r="A23" s="73" t="s">
        <v>130</v>
      </c>
      <c r="B23" s="101">
        <f t="shared" ref="B23:B37" si="2">SUM(C23:N23)</f>
        <v>667388</v>
      </c>
      <c r="C23" s="102">
        <v>47473</v>
      </c>
      <c r="D23" s="102">
        <v>25479</v>
      </c>
      <c r="E23" s="102">
        <v>84816</v>
      </c>
      <c r="F23" s="102">
        <v>71574</v>
      </c>
      <c r="G23" s="102">
        <v>26870</v>
      </c>
      <c r="H23" s="102">
        <v>25494</v>
      </c>
      <c r="I23" s="102">
        <v>32629</v>
      </c>
      <c r="J23" s="102">
        <v>83755</v>
      </c>
      <c r="K23" s="102">
        <v>137590</v>
      </c>
      <c r="L23" s="102">
        <v>66452</v>
      </c>
      <c r="M23" s="102">
        <v>28100</v>
      </c>
      <c r="N23" s="102">
        <v>37156</v>
      </c>
      <c r="P23" s="35"/>
      <c r="Q23" s="35"/>
      <c r="R23" s="35"/>
      <c r="S23" s="35"/>
      <c r="T23" s="35"/>
      <c r="U23" s="35"/>
      <c r="V23" s="35"/>
      <c r="W23" s="35"/>
      <c r="X23" s="35"/>
      <c r="Y23" s="35"/>
      <c r="Z23" s="35"/>
      <c r="AA23" s="35"/>
    </row>
    <row r="24" spans="1:27" x14ac:dyDescent="0.3">
      <c r="A24" s="73" t="s">
        <v>136</v>
      </c>
      <c r="B24" s="101">
        <f t="shared" si="2"/>
        <v>8787056.6600000001</v>
      </c>
      <c r="C24" s="102"/>
      <c r="D24" s="102"/>
      <c r="E24" s="102"/>
      <c r="F24" s="102"/>
      <c r="G24" s="102"/>
      <c r="H24" s="102"/>
      <c r="I24" s="102"/>
      <c r="J24" s="102"/>
      <c r="K24" s="102"/>
      <c r="L24" s="102"/>
      <c r="M24" s="102"/>
      <c r="N24" s="102">
        <v>8787056.6600000001</v>
      </c>
      <c r="P24" s="35"/>
      <c r="Q24" s="35"/>
      <c r="R24" s="35"/>
      <c r="S24" s="35"/>
      <c r="T24" s="35"/>
      <c r="U24" s="35"/>
      <c r="V24" s="35"/>
      <c r="W24" s="35"/>
      <c r="X24" s="35"/>
      <c r="Y24" s="35"/>
      <c r="Z24" s="35"/>
      <c r="AA24" s="35"/>
    </row>
    <row r="25" spans="1:27" x14ac:dyDescent="0.3">
      <c r="A25" s="73" t="s">
        <v>137</v>
      </c>
      <c r="B25" s="101">
        <f t="shared" si="2"/>
        <v>0</v>
      </c>
      <c r="C25" s="102"/>
      <c r="D25" s="102"/>
      <c r="E25" s="102"/>
      <c r="F25" s="102"/>
      <c r="G25" s="102"/>
      <c r="H25" s="102"/>
      <c r="I25" s="102"/>
      <c r="J25" s="102"/>
      <c r="K25" s="102"/>
      <c r="L25" s="102"/>
      <c r="M25" s="102"/>
      <c r="N25" s="102"/>
      <c r="P25" s="35"/>
      <c r="Q25" s="35"/>
      <c r="R25" s="35"/>
      <c r="S25" s="35"/>
      <c r="T25" s="35"/>
      <c r="U25" s="35"/>
      <c r="V25" s="35"/>
      <c r="W25" s="35"/>
      <c r="X25" s="35"/>
      <c r="Y25" s="35"/>
      <c r="Z25" s="35"/>
      <c r="AA25" s="35"/>
    </row>
    <row r="26" spans="1:27" x14ac:dyDescent="0.3">
      <c r="A26" s="73" t="s">
        <v>177</v>
      </c>
      <c r="B26" s="101">
        <f t="shared" si="2"/>
        <v>0</v>
      </c>
      <c r="C26" s="102"/>
      <c r="D26" s="102"/>
      <c r="E26" s="102"/>
      <c r="F26" s="102"/>
      <c r="G26" s="102"/>
      <c r="H26" s="102"/>
      <c r="I26" s="102"/>
      <c r="J26" s="102"/>
      <c r="K26" s="102"/>
      <c r="L26" s="102"/>
      <c r="M26" s="102"/>
      <c r="N26" s="102"/>
      <c r="P26" s="35"/>
      <c r="Q26" s="35"/>
      <c r="R26" s="35"/>
      <c r="S26" s="35"/>
      <c r="T26" s="35"/>
      <c r="U26" s="35"/>
      <c r="V26" s="35"/>
      <c r="W26" s="35"/>
      <c r="X26" s="35"/>
      <c r="Y26" s="35"/>
      <c r="Z26" s="35"/>
      <c r="AA26" s="35"/>
    </row>
    <row r="27" spans="1:27" x14ac:dyDescent="0.3">
      <c r="A27" s="73" t="s">
        <v>177</v>
      </c>
      <c r="B27" s="101">
        <f t="shared" si="2"/>
        <v>0</v>
      </c>
      <c r="C27" s="102"/>
      <c r="D27" s="102"/>
      <c r="E27" s="102"/>
      <c r="F27" s="102"/>
      <c r="G27" s="102"/>
      <c r="H27" s="102"/>
      <c r="I27" s="102"/>
      <c r="J27" s="102"/>
      <c r="K27" s="102"/>
      <c r="L27" s="102"/>
      <c r="M27" s="102"/>
      <c r="N27" s="102"/>
      <c r="P27" s="35"/>
      <c r="Q27" s="35"/>
      <c r="R27" s="35"/>
      <c r="S27" s="35"/>
      <c r="T27" s="35"/>
      <c r="U27" s="35"/>
      <c r="V27" s="35"/>
      <c r="W27" s="35"/>
      <c r="X27" s="35"/>
      <c r="Y27" s="35"/>
      <c r="Z27" s="35"/>
      <c r="AA27" s="35"/>
    </row>
    <row r="28" spans="1:27" x14ac:dyDescent="0.3">
      <c r="A28" s="73" t="s">
        <v>177</v>
      </c>
      <c r="B28" s="101">
        <f t="shared" si="2"/>
        <v>0</v>
      </c>
      <c r="C28" s="102"/>
      <c r="D28" s="102"/>
      <c r="E28" s="102"/>
      <c r="F28" s="102"/>
      <c r="G28" s="102"/>
      <c r="H28" s="102"/>
      <c r="I28" s="102"/>
      <c r="J28" s="102"/>
      <c r="K28" s="102"/>
      <c r="L28" s="102"/>
      <c r="M28" s="102"/>
      <c r="N28" s="102"/>
      <c r="P28" s="35"/>
      <c r="Q28" s="35"/>
      <c r="R28" s="35"/>
      <c r="S28" s="35"/>
      <c r="T28" s="35"/>
      <c r="U28" s="35"/>
      <c r="V28" s="35"/>
      <c r="W28" s="35"/>
      <c r="X28" s="35"/>
      <c r="Y28" s="35"/>
      <c r="Z28" s="35"/>
      <c r="AA28" s="35"/>
    </row>
    <row r="29" spans="1:27" x14ac:dyDescent="0.3">
      <c r="A29" s="73" t="s">
        <v>177</v>
      </c>
      <c r="B29" s="101">
        <f t="shared" si="2"/>
        <v>0</v>
      </c>
      <c r="C29" s="102"/>
      <c r="D29" s="102"/>
      <c r="E29" s="102"/>
      <c r="F29" s="102"/>
      <c r="G29" s="102"/>
      <c r="H29" s="102"/>
      <c r="I29" s="102"/>
      <c r="J29" s="102"/>
      <c r="K29" s="102"/>
      <c r="L29" s="102"/>
      <c r="M29" s="102"/>
      <c r="N29" s="102"/>
      <c r="P29" s="35"/>
      <c r="Q29" s="35"/>
      <c r="R29" s="35"/>
      <c r="S29" s="35"/>
      <c r="T29" s="35"/>
      <c r="U29" s="35"/>
      <c r="V29" s="35"/>
      <c r="W29" s="35"/>
      <c r="X29" s="35"/>
      <c r="Y29" s="35"/>
      <c r="Z29" s="35"/>
      <c r="AA29" s="35"/>
    </row>
    <row r="30" spans="1:27" x14ac:dyDescent="0.3">
      <c r="A30" s="73" t="s">
        <v>177</v>
      </c>
      <c r="B30" s="101">
        <f t="shared" si="2"/>
        <v>0</v>
      </c>
      <c r="C30" s="102"/>
      <c r="D30" s="102"/>
      <c r="E30" s="102"/>
      <c r="F30" s="102"/>
      <c r="G30" s="102"/>
      <c r="H30" s="102"/>
      <c r="I30" s="102"/>
      <c r="J30" s="102"/>
      <c r="K30" s="102"/>
      <c r="L30" s="102"/>
      <c r="M30" s="102"/>
      <c r="N30" s="102"/>
      <c r="P30" s="35"/>
      <c r="Q30" s="35"/>
      <c r="R30" s="35"/>
      <c r="S30" s="35"/>
      <c r="T30" s="35"/>
      <c r="U30" s="35"/>
      <c r="V30" s="35"/>
      <c r="W30" s="35"/>
      <c r="X30" s="35"/>
      <c r="Y30" s="35"/>
      <c r="Z30" s="35"/>
      <c r="AA30" s="35"/>
    </row>
    <row r="31" spans="1:27" x14ac:dyDescent="0.3">
      <c r="A31" s="73" t="s">
        <v>177</v>
      </c>
      <c r="B31" s="101">
        <f t="shared" si="2"/>
        <v>0</v>
      </c>
      <c r="C31" s="102"/>
      <c r="D31" s="102"/>
      <c r="E31" s="102"/>
      <c r="F31" s="102"/>
      <c r="G31" s="102"/>
      <c r="H31" s="102"/>
      <c r="I31" s="102"/>
      <c r="J31" s="102"/>
      <c r="K31" s="102"/>
      <c r="L31" s="102"/>
      <c r="M31" s="102"/>
      <c r="N31" s="102"/>
      <c r="P31" s="35"/>
      <c r="Q31" s="35"/>
      <c r="R31" s="35"/>
      <c r="S31" s="35"/>
      <c r="T31" s="35"/>
      <c r="U31" s="35"/>
      <c r="V31" s="35"/>
      <c r="W31" s="35"/>
      <c r="X31" s="35"/>
      <c r="Y31" s="35"/>
      <c r="Z31" s="35"/>
      <c r="AA31" s="35"/>
    </row>
    <row r="32" spans="1:27" x14ac:dyDescent="0.3">
      <c r="A32" s="73" t="s">
        <v>177</v>
      </c>
      <c r="B32" s="101">
        <f t="shared" si="2"/>
        <v>0</v>
      </c>
      <c r="C32" s="102"/>
      <c r="D32" s="102"/>
      <c r="E32" s="102"/>
      <c r="F32" s="102"/>
      <c r="G32" s="102"/>
      <c r="H32" s="102"/>
      <c r="I32" s="102"/>
      <c r="J32" s="102"/>
      <c r="K32" s="102"/>
      <c r="L32" s="102"/>
      <c r="M32" s="102"/>
      <c r="N32" s="102"/>
      <c r="P32" s="35"/>
      <c r="Q32" s="35"/>
      <c r="R32" s="35"/>
      <c r="S32" s="35"/>
      <c r="T32" s="35"/>
      <c r="U32" s="35"/>
      <c r="V32" s="35"/>
      <c r="W32" s="35"/>
      <c r="X32" s="35"/>
      <c r="Y32" s="35"/>
      <c r="Z32" s="35"/>
      <c r="AA32" s="35"/>
    </row>
    <row r="33" spans="1:27" x14ac:dyDescent="0.3">
      <c r="A33" s="73" t="s">
        <v>177</v>
      </c>
      <c r="B33" s="101">
        <f t="shared" si="2"/>
        <v>0</v>
      </c>
      <c r="C33" s="102"/>
      <c r="D33" s="102"/>
      <c r="E33" s="102"/>
      <c r="F33" s="102"/>
      <c r="G33" s="102"/>
      <c r="H33" s="102"/>
      <c r="I33" s="102"/>
      <c r="J33" s="102"/>
      <c r="K33" s="102"/>
      <c r="L33" s="102"/>
      <c r="M33" s="102"/>
      <c r="N33" s="102"/>
      <c r="P33" s="35"/>
      <c r="Q33" s="35"/>
      <c r="R33" s="35"/>
      <c r="S33" s="35"/>
      <c r="T33" s="35"/>
      <c r="U33" s="35"/>
      <c r="V33" s="35"/>
      <c r="W33" s="35"/>
      <c r="X33" s="35"/>
      <c r="Y33" s="35"/>
      <c r="Z33" s="35"/>
      <c r="AA33" s="35"/>
    </row>
    <row r="34" spans="1:27" x14ac:dyDescent="0.3">
      <c r="A34" s="73" t="s">
        <v>177</v>
      </c>
      <c r="B34" s="101">
        <f t="shared" si="2"/>
        <v>0</v>
      </c>
      <c r="C34" s="102"/>
      <c r="D34" s="102"/>
      <c r="E34" s="102"/>
      <c r="F34" s="102"/>
      <c r="G34" s="102"/>
      <c r="H34" s="102"/>
      <c r="I34" s="102"/>
      <c r="J34" s="102"/>
      <c r="K34" s="102"/>
      <c r="L34" s="102"/>
      <c r="M34" s="102"/>
      <c r="N34" s="102"/>
      <c r="P34" s="35"/>
      <c r="Q34" s="35"/>
      <c r="R34" s="35"/>
      <c r="S34" s="35"/>
      <c r="T34" s="35"/>
      <c r="U34" s="35"/>
      <c r="V34" s="35"/>
      <c r="W34" s="35"/>
      <c r="X34" s="35"/>
      <c r="Y34" s="35"/>
      <c r="Z34" s="35"/>
      <c r="AA34" s="35"/>
    </row>
    <row r="35" spans="1:27" x14ac:dyDescent="0.3">
      <c r="A35" s="73" t="s">
        <v>177</v>
      </c>
      <c r="B35" s="101">
        <f t="shared" si="2"/>
        <v>0</v>
      </c>
      <c r="C35" s="102"/>
      <c r="D35" s="102"/>
      <c r="E35" s="102"/>
      <c r="F35" s="102"/>
      <c r="G35" s="102"/>
      <c r="H35" s="102"/>
      <c r="I35" s="102"/>
      <c r="J35" s="102"/>
      <c r="K35" s="102"/>
      <c r="L35" s="102"/>
      <c r="M35" s="102"/>
      <c r="N35" s="102"/>
      <c r="P35" s="35"/>
      <c r="Q35" s="35"/>
      <c r="R35" s="35"/>
      <c r="S35" s="35"/>
      <c r="T35" s="35"/>
      <c r="U35" s="35"/>
      <c r="V35" s="35"/>
      <c r="W35" s="35"/>
      <c r="X35" s="35"/>
      <c r="Y35" s="35"/>
      <c r="Z35" s="35"/>
      <c r="AA35" s="35"/>
    </row>
    <row r="36" spans="1:27" x14ac:dyDescent="0.3">
      <c r="A36" s="73" t="s">
        <v>177</v>
      </c>
      <c r="B36" s="101">
        <f t="shared" si="2"/>
        <v>0</v>
      </c>
      <c r="C36" s="102"/>
      <c r="D36" s="102"/>
      <c r="E36" s="102"/>
      <c r="F36" s="102"/>
      <c r="G36" s="102"/>
      <c r="H36" s="102"/>
      <c r="I36" s="102"/>
      <c r="J36" s="102"/>
      <c r="K36" s="102"/>
      <c r="L36" s="102"/>
      <c r="M36" s="102"/>
      <c r="N36" s="102"/>
      <c r="P36" s="35"/>
      <c r="Q36" s="35"/>
      <c r="R36" s="35"/>
      <c r="S36" s="35"/>
      <c r="T36" s="35"/>
      <c r="U36" s="35"/>
      <c r="V36" s="35"/>
      <c r="W36" s="35"/>
      <c r="X36" s="35"/>
      <c r="Y36" s="35"/>
      <c r="Z36" s="35"/>
      <c r="AA36" s="35"/>
    </row>
    <row r="37" spans="1:27" x14ac:dyDescent="0.3">
      <c r="A37" s="73" t="s">
        <v>177</v>
      </c>
      <c r="B37" s="101">
        <f t="shared" si="2"/>
        <v>0</v>
      </c>
      <c r="C37" s="102"/>
      <c r="D37" s="102"/>
      <c r="E37" s="102"/>
      <c r="F37" s="102"/>
      <c r="G37" s="102"/>
      <c r="H37" s="102"/>
      <c r="I37" s="102"/>
      <c r="J37" s="102"/>
      <c r="K37" s="102"/>
      <c r="L37" s="102"/>
      <c r="M37" s="102"/>
      <c r="N37" s="102"/>
      <c r="P37" s="35"/>
      <c r="Q37" s="35"/>
      <c r="R37" s="35"/>
      <c r="S37" s="35"/>
      <c r="T37" s="35"/>
      <c r="U37" s="35"/>
      <c r="V37" s="35"/>
      <c r="W37" s="35"/>
      <c r="X37" s="35"/>
      <c r="Y37" s="35"/>
      <c r="Z37" s="35"/>
      <c r="AA37" s="35"/>
    </row>
    <row r="38" spans="1:27" x14ac:dyDescent="0.3">
      <c r="A38" s="73" t="s">
        <v>177</v>
      </c>
      <c r="B38" s="101">
        <f t="shared" si="1"/>
        <v>0</v>
      </c>
      <c r="C38" s="102"/>
      <c r="D38" s="102"/>
      <c r="E38" s="102"/>
      <c r="F38" s="102"/>
      <c r="G38" s="102"/>
      <c r="H38" s="102"/>
      <c r="I38" s="102"/>
      <c r="J38" s="102"/>
      <c r="K38" s="102"/>
      <c r="L38" s="102"/>
      <c r="M38" s="102"/>
      <c r="N38" s="102"/>
      <c r="P38" s="35"/>
      <c r="Q38" s="35"/>
      <c r="R38" s="35"/>
      <c r="S38" s="35"/>
      <c r="T38" s="35"/>
      <c r="U38" s="35"/>
      <c r="V38" s="35"/>
      <c r="W38" s="35"/>
      <c r="X38" s="35"/>
      <c r="Y38" s="35"/>
      <c r="Z38" s="35"/>
      <c r="AA38" s="35"/>
    </row>
    <row r="39" spans="1:27" x14ac:dyDescent="0.3">
      <c r="A39" s="40" t="s">
        <v>8</v>
      </c>
      <c r="B39" s="103">
        <f t="shared" ref="B39:N39" si="3">SUM(B9:B38)</f>
        <v>992342779.28999996</v>
      </c>
      <c r="C39" s="103">
        <f t="shared" si="3"/>
        <v>36444482</v>
      </c>
      <c r="D39" s="103">
        <f t="shared" si="3"/>
        <v>48065184</v>
      </c>
      <c r="E39" s="103">
        <f t="shared" si="3"/>
        <v>27232958</v>
      </c>
      <c r="F39" s="103">
        <f t="shared" si="3"/>
        <v>134108706.5</v>
      </c>
      <c r="G39" s="103">
        <f t="shared" si="3"/>
        <v>175849161</v>
      </c>
      <c r="H39" s="103">
        <f t="shared" si="3"/>
        <v>85551629</v>
      </c>
      <c r="I39" s="103">
        <f t="shared" si="3"/>
        <v>36102285.649999999</v>
      </c>
      <c r="J39" s="103">
        <f t="shared" si="3"/>
        <v>35474904.75</v>
      </c>
      <c r="K39" s="103">
        <f t="shared" si="3"/>
        <v>68933995.689999998</v>
      </c>
      <c r="L39" s="103">
        <f t="shared" si="3"/>
        <v>210796391.5</v>
      </c>
      <c r="M39" s="103">
        <f t="shared" si="3"/>
        <v>90011215.099999994</v>
      </c>
      <c r="N39" s="103">
        <f t="shared" si="3"/>
        <v>43771866.099999994</v>
      </c>
    </row>
    <row r="40" spans="1:27" x14ac:dyDescent="0.3">
      <c r="A40" s="10" t="s">
        <v>7</v>
      </c>
      <c r="B40" s="104"/>
      <c r="C40" s="105"/>
      <c r="D40" s="105"/>
      <c r="E40" s="105"/>
      <c r="F40" s="105"/>
      <c r="G40" s="105"/>
      <c r="H40" s="105"/>
      <c r="I40" s="105"/>
      <c r="J40" s="105"/>
      <c r="K40" s="105"/>
      <c r="L40" s="105"/>
      <c r="M40" s="105"/>
      <c r="N40" s="105"/>
    </row>
    <row r="41" spans="1:27" x14ac:dyDescent="0.3">
      <c r="A41" s="73" t="s">
        <v>106</v>
      </c>
      <c r="B41" s="101">
        <f t="shared" ref="B41:B44" si="4">SUM(C41:N41)</f>
        <v>117236289</v>
      </c>
      <c r="C41" s="102">
        <v>8831472</v>
      </c>
      <c r="D41" s="102">
        <v>8876802</v>
      </c>
      <c r="E41" s="102">
        <v>9022020</v>
      </c>
      <c r="F41" s="102">
        <v>8806756</v>
      </c>
      <c r="G41" s="102">
        <v>13579815</v>
      </c>
      <c r="H41" s="102">
        <v>9171215</v>
      </c>
      <c r="I41" s="102">
        <f>9165626</f>
        <v>9165626</v>
      </c>
      <c r="J41" s="102">
        <v>9168544</v>
      </c>
      <c r="K41" s="102">
        <v>8984505</v>
      </c>
      <c r="L41" s="102">
        <v>8862399</v>
      </c>
      <c r="M41" s="102">
        <v>13934817</v>
      </c>
      <c r="N41" s="102">
        <v>8832318</v>
      </c>
      <c r="P41" s="35"/>
      <c r="Q41" s="35"/>
      <c r="R41" s="35"/>
      <c r="S41" s="35"/>
      <c r="T41" s="35"/>
      <c r="U41" s="35"/>
      <c r="V41" s="35"/>
      <c r="W41" s="35"/>
      <c r="X41" s="35"/>
      <c r="Y41" s="35"/>
      <c r="Z41" s="35"/>
      <c r="AA41" s="35"/>
    </row>
    <row r="42" spans="1:27" x14ac:dyDescent="0.3">
      <c r="A42" s="73" t="s">
        <v>107</v>
      </c>
      <c r="B42" s="101">
        <f t="shared" si="4"/>
        <v>23936769</v>
      </c>
      <c r="C42" s="102">
        <v>1789341</v>
      </c>
      <c r="D42" s="102">
        <v>1830912</v>
      </c>
      <c r="E42" s="102">
        <v>1857119</v>
      </c>
      <c r="F42" s="102">
        <v>1819461</v>
      </c>
      <c r="G42" s="102">
        <v>2730092</v>
      </c>
      <c r="H42" s="102">
        <v>1826730</v>
      </c>
      <c r="I42" s="102">
        <v>1851883</v>
      </c>
      <c r="J42" s="102">
        <v>1869634</v>
      </c>
      <c r="K42" s="102">
        <v>1832930</v>
      </c>
      <c r="L42" s="102">
        <v>1856661</v>
      </c>
      <c r="M42" s="102">
        <v>2731713</v>
      </c>
      <c r="N42" s="102">
        <v>1940293</v>
      </c>
      <c r="P42" s="35"/>
      <c r="Q42" s="35"/>
      <c r="R42" s="35"/>
      <c r="S42" s="35"/>
      <c r="T42" s="35"/>
      <c r="U42" s="35"/>
      <c r="V42" s="35"/>
      <c r="W42" s="35"/>
      <c r="X42" s="35"/>
      <c r="Y42" s="35"/>
      <c r="Z42" s="35"/>
      <c r="AA42" s="35"/>
    </row>
    <row r="43" spans="1:27" x14ac:dyDescent="0.3">
      <c r="A43" s="73" t="s">
        <v>109</v>
      </c>
      <c r="B43" s="101">
        <f t="shared" si="4"/>
        <v>238247691</v>
      </c>
      <c r="C43" s="102">
        <v>21701752</v>
      </c>
      <c r="D43" s="102">
        <v>14416862</v>
      </c>
      <c r="E43" s="102">
        <v>17759051</v>
      </c>
      <c r="F43" s="102">
        <v>19383103</v>
      </c>
      <c r="G43" s="102">
        <v>17385870</v>
      </c>
      <c r="H43" s="102">
        <v>17318399</v>
      </c>
      <c r="I43" s="102">
        <v>27084916</v>
      </c>
      <c r="J43" s="102">
        <v>23940412</v>
      </c>
      <c r="K43" s="102">
        <v>25429817</v>
      </c>
      <c r="L43" s="102">
        <v>23057585</v>
      </c>
      <c r="M43" s="102">
        <v>16703168</v>
      </c>
      <c r="N43" s="102">
        <v>14066756</v>
      </c>
      <c r="P43" s="35"/>
      <c r="Q43" s="35"/>
      <c r="R43" s="35"/>
      <c r="S43" s="35"/>
      <c r="T43" s="35"/>
      <c r="U43" s="35"/>
      <c r="V43" s="35"/>
      <c r="W43" s="35"/>
      <c r="X43" s="35"/>
      <c r="Y43" s="35"/>
      <c r="Z43" s="35"/>
      <c r="AA43" s="35"/>
    </row>
    <row r="44" spans="1:27" x14ac:dyDescent="0.3">
      <c r="A44" s="73" t="s">
        <v>110</v>
      </c>
      <c r="B44" s="101">
        <f t="shared" si="4"/>
        <v>0</v>
      </c>
      <c r="C44" s="102">
        <v>0</v>
      </c>
      <c r="D44" s="102"/>
      <c r="E44" s="102"/>
      <c r="F44" s="102"/>
      <c r="G44" s="102"/>
      <c r="H44" s="102"/>
      <c r="I44" s="102"/>
      <c r="J44" s="102"/>
      <c r="K44" s="102"/>
      <c r="L44" s="102"/>
      <c r="M44" s="102"/>
      <c r="N44" s="102"/>
      <c r="P44" s="35"/>
      <c r="Q44" s="35"/>
      <c r="R44" s="35"/>
      <c r="S44" s="35"/>
      <c r="T44" s="35"/>
      <c r="U44" s="35"/>
      <c r="V44" s="35"/>
      <c r="W44" s="35"/>
      <c r="X44" s="35"/>
      <c r="Y44" s="35"/>
      <c r="Z44" s="35"/>
      <c r="AA44" s="35"/>
    </row>
    <row r="45" spans="1:27" x14ac:dyDescent="0.3">
      <c r="A45" s="73" t="s">
        <v>111</v>
      </c>
      <c r="B45" s="101">
        <f t="shared" ref="B45:B46" si="5">SUM(C45:N45)</f>
        <v>0</v>
      </c>
      <c r="C45" s="102">
        <v>0</v>
      </c>
      <c r="D45" s="102"/>
      <c r="E45" s="102"/>
      <c r="F45" s="102"/>
      <c r="G45" s="102"/>
      <c r="H45" s="102"/>
      <c r="I45" s="102"/>
      <c r="J45" s="102"/>
      <c r="K45" s="102"/>
      <c r="L45" s="102"/>
      <c r="M45" s="102"/>
      <c r="N45" s="102"/>
      <c r="P45" s="35"/>
      <c r="Q45" s="35"/>
      <c r="R45" s="35"/>
      <c r="S45" s="35"/>
      <c r="T45" s="35"/>
      <c r="U45" s="35"/>
      <c r="V45" s="35"/>
      <c r="W45" s="35"/>
      <c r="X45" s="35"/>
      <c r="Y45" s="35"/>
      <c r="Z45" s="35"/>
      <c r="AA45" s="35"/>
    </row>
    <row r="46" spans="1:27" x14ac:dyDescent="0.3">
      <c r="A46" s="73" t="s">
        <v>134</v>
      </c>
      <c r="B46" s="101">
        <f t="shared" si="5"/>
        <v>67195744</v>
      </c>
      <c r="C46" s="102">
        <v>0</v>
      </c>
      <c r="D46" s="102"/>
      <c r="E46" s="102"/>
      <c r="F46" s="102"/>
      <c r="G46" s="102"/>
      <c r="H46" s="102">
        <v>33597872</v>
      </c>
      <c r="I46" s="102"/>
      <c r="J46" s="102"/>
      <c r="K46" s="102"/>
      <c r="L46" s="102"/>
      <c r="M46" s="102">
        <v>33597872</v>
      </c>
      <c r="N46" s="102"/>
      <c r="P46" s="35"/>
      <c r="Q46" s="35"/>
      <c r="R46" s="35"/>
      <c r="S46" s="35"/>
      <c r="T46" s="35"/>
      <c r="U46" s="35"/>
      <c r="V46" s="35"/>
      <c r="W46" s="35"/>
      <c r="X46" s="35"/>
      <c r="Y46" s="35"/>
      <c r="Z46" s="35"/>
      <c r="AA46" s="35"/>
    </row>
    <row r="47" spans="1:27" x14ac:dyDescent="0.3">
      <c r="A47" s="73" t="s">
        <v>108</v>
      </c>
      <c r="B47" s="101">
        <f t="shared" ref="B47:B56" si="6">SUM(C47:N47)</f>
        <v>0</v>
      </c>
      <c r="C47" s="102">
        <v>0</v>
      </c>
      <c r="D47" s="102"/>
      <c r="E47" s="102"/>
      <c r="F47" s="102"/>
      <c r="G47" s="102"/>
      <c r="H47" s="102"/>
      <c r="I47" s="102"/>
      <c r="J47" s="102"/>
      <c r="K47" s="102"/>
      <c r="L47" s="102"/>
      <c r="M47" s="102"/>
      <c r="N47" s="102"/>
      <c r="P47" s="35"/>
      <c r="Q47" s="35"/>
      <c r="R47" s="35"/>
      <c r="S47" s="35"/>
      <c r="T47" s="35"/>
      <c r="U47" s="35"/>
      <c r="V47" s="35"/>
      <c r="W47" s="35"/>
      <c r="X47" s="35"/>
      <c r="Y47" s="35"/>
      <c r="Z47" s="35"/>
      <c r="AA47" s="35"/>
    </row>
    <row r="48" spans="1:27" x14ac:dyDescent="0.3">
      <c r="A48" s="73" t="s">
        <v>112</v>
      </c>
      <c r="B48" s="101">
        <f t="shared" si="6"/>
        <v>0</v>
      </c>
      <c r="C48" s="102">
        <v>0</v>
      </c>
      <c r="D48" s="102"/>
      <c r="E48" s="102"/>
      <c r="F48" s="102"/>
      <c r="G48" s="102"/>
      <c r="H48" s="102"/>
      <c r="I48" s="102"/>
      <c r="J48" s="102"/>
      <c r="K48" s="102"/>
      <c r="L48" s="102"/>
      <c r="M48" s="102"/>
      <c r="N48" s="102"/>
      <c r="P48" s="35"/>
      <c r="Q48" s="35"/>
      <c r="R48" s="35"/>
      <c r="S48" s="35"/>
      <c r="T48" s="35"/>
      <c r="U48" s="35"/>
      <c r="V48" s="35"/>
      <c r="W48" s="35"/>
      <c r="X48" s="35"/>
      <c r="Y48" s="35"/>
      <c r="Z48" s="35"/>
      <c r="AA48" s="35"/>
    </row>
    <row r="49" spans="1:27" x14ac:dyDescent="0.3">
      <c r="A49" s="73" t="s">
        <v>114</v>
      </c>
      <c r="B49" s="101">
        <f t="shared" si="6"/>
        <v>0</v>
      </c>
      <c r="C49" s="102">
        <v>0</v>
      </c>
      <c r="D49" s="102"/>
      <c r="E49" s="102"/>
      <c r="F49" s="102"/>
      <c r="G49" s="102"/>
      <c r="H49" s="102"/>
      <c r="I49" s="102"/>
      <c r="J49" s="102"/>
      <c r="K49" s="102"/>
      <c r="L49" s="102"/>
      <c r="M49" s="102"/>
      <c r="N49" s="102"/>
      <c r="P49" s="35"/>
      <c r="Q49" s="35"/>
      <c r="R49" s="35"/>
      <c r="S49" s="35"/>
      <c r="T49" s="35"/>
      <c r="U49" s="35"/>
      <c r="V49" s="35"/>
      <c r="W49" s="35"/>
      <c r="X49" s="35"/>
      <c r="Y49" s="35"/>
      <c r="Z49" s="35"/>
      <c r="AA49" s="35"/>
    </row>
    <row r="50" spans="1:27" x14ac:dyDescent="0.3">
      <c r="A50" s="73" t="s">
        <v>131</v>
      </c>
      <c r="B50" s="101">
        <f t="shared" si="6"/>
        <v>15298075</v>
      </c>
      <c r="C50" s="102">
        <v>1187772</v>
      </c>
      <c r="D50" s="102">
        <v>956772</v>
      </c>
      <c r="E50" s="102">
        <v>771964</v>
      </c>
      <c r="F50" s="102">
        <v>1215764</v>
      </c>
      <c r="G50" s="102">
        <v>1105191</v>
      </c>
      <c r="H50" s="102">
        <v>2168911</v>
      </c>
      <c r="I50" s="102">
        <v>7458</v>
      </c>
      <c r="J50" s="102">
        <v>2282124</v>
      </c>
      <c r="K50" s="102">
        <v>1655441</v>
      </c>
      <c r="L50" s="102">
        <v>1623811</v>
      </c>
      <c r="M50" s="102">
        <v>2287115</v>
      </c>
      <c r="N50" s="102">
        <v>35752</v>
      </c>
      <c r="P50" s="35"/>
      <c r="Q50" s="35"/>
      <c r="R50" s="35"/>
      <c r="S50" s="35"/>
      <c r="T50" s="35"/>
      <c r="U50" s="35"/>
      <c r="V50" s="35"/>
      <c r="W50" s="35"/>
      <c r="X50" s="35"/>
      <c r="Y50" s="35"/>
      <c r="Z50" s="35"/>
      <c r="AA50" s="35"/>
    </row>
    <row r="51" spans="1:27" x14ac:dyDescent="0.3">
      <c r="A51" s="73" t="s">
        <v>132</v>
      </c>
      <c r="B51" s="101">
        <f t="shared" si="6"/>
        <v>25067587</v>
      </c>
      <c r="C51" s="102">
        <v>224138</v>
      </c>
      <c r="D51" s="102">
        <v>21286252</v>
      </c>
      <c r="E51" s="102">
        <v>0</v>
      </c>
      <c r="F51" s="102">
        <v>0</v>
      </c>
      <c r="G51" s="102">
        <v>132507</v>
      </c>
      <c r="H51" s="102">
        <v>0</v>
      </c>
      <c r="I51" s="102">
        <v>19838</v>
      </c>
      <c r="J51" s="102">
        <v>1806264</v>
      </c>
      <c r="K51" s="102">
        <v>0</v>
      </c>
      <c r="L51" s="102">
        <v>0</v>
      </c>
      <c r="M51" s="102">
        <v>0</v>
      </c>
      <c r="N51" s="102">
        <v>1598588</v>
      </c>
      <c r="P51" s="35"/>
      <c r="Q51" s="35"/>
      <c r="R51" s="35"/>
      <c r="S51" s="35"/>
      <c r="T51" s="35"/>
      <c r="U51" s="35"/>
      <c r="V51" s="35"/>
      <c r="W51" s="35"/>
      <c r="X51" s="35"/>
      <c r="Y51" s="35"/>
      <c r="Z51" s="35"/>
      <c r="AA51" s="35"/>
    </row>
    <row r="52" spans="1:27" x14ac:dyDescent="0.3">
      <c r="A52" s="73" t="s">
        <v>133</v>
      </c>
      <c r="B52" s="101">
        <f t="shared" si="6"/>
        <v>410674494</v>
      </c>
      <c r="C52" s="102">
        <v>3792141</v>
      </c>
      <c r="D52" s="102"/>
      <c r="E52" s="102"/>
      <c r="F52" s="102"/>
      <c r="G52" s="102">
        <v>47300000</v>
      </c>
      <c r="H52" s="102">
        <v>68385000</v>
      </c>
      <c r="I52" s="102">
        <v>102384266</v>
      </c>
      <c r="J52" s="102"/>
      <c r="K52" s="102"/>
      <c r="L52" s="102">
        <v>41980500</v>
      </c>
      <c r="M52" s="102">
        <v>44268436</v>
      </c>
      <c r="N52" s="102">
        <v>102564151</v>
      </c>
      <c r="P52" s="35"/>
      <c r="Q52" s="35"/>
      <c r="R52" s="35"/>
      <c r="S52" s="35"/>
      <c r="T52" s="35"/>
      <c r="U52" s="35"/>
      <c r="V52" s="35"/>
      <c r="W52" s="35"/>
      <c r="X52" s="35"/>
      <c r="Y52" s="35"/>
      <c r="Z52" s="35"/>
      <c r="AA52" s="35"/>
    </row>
    <row r="53" spans="1:27" x14ac:dyDescent="0.3">
      <c r="A53" s="73" t="s">
        <v>176</v>
      </c>
      <c r="B53" s="101">
        <f t="shared" si="6"/>
        <v>-72656716.060000002</v>
      </c>
      <c r="C53" s="102">
        <v>-7182742.2199999997</v>
      </c>
      <c r="D53" s="102"/>
      <c r="E53" s="102"/>
      <c r="F53" s="102">
        <v>-3121106.73</v>
      </c>
      <c r="G53" s="102">
        <v>-8354289.6799999997</v>
      </c>
      <c r="H53" s="102">
        <v>-3933601</v>
      </c>
      <c r="I53" s="102">
        <v>-4629055.2699999996</v>
      </c>
      <c r="J53" s="102">
        <v>-9150041.8200000003</v>
      </c>
      <c r="K53" s="102">
        <v>-11934703.279999999</v>
      </c>
      <c r="L53" s="102">
        <v>-8783403.8200000003</v>
      </c>
      <c r="M53" s="102">
        <v>-5819735.8600000003</v>
      </c>
      <c r="N53" s="102">
        <v>-9748036.3800000008</v>
      </c>
      <c r="P53" s="35"/>
      <c r="Q53" s="35"/>
      <c r="R53" s="35"/>
      <c r="S53" s="35"/>
      <c r="T53" s="35"/>
      <c r="U53" s="35"/>
      <c r="V53" s="35"/>
      <c r="W53" s="35"/>
      <c r="X53" s="35"/>
      <c r="Y53" s="35"/>
      <c r="Z53" s="35"/>
      <c r="AA53" s="35"/>
    </row>
    <row r="54" spans="1:27" x14ac:dyDescent="0.3">
      <c r="A54" s="73" t="s">
        <v>138</v>
      </c>
      <c r="B54" s="101">
        <f t="shared" si="6"/>
        <v>0</v>
      </c>
      <c r="C54" s="102"/>
      <c r="D54" s="102"/>
      <c r="E54" s="102"/>
      <c r="F54" s="102"/>
      <c r="G54" s="102"/>
      <c r="H54" s="102"/>
      <c r="I54" s="102"/>
      <c r="J54" s="102"/>
      <c r="K54" s="102"/>
      <c r="L54" s="102"/>
      <c r="M54" s="102"/>
      <c r="N54" s="102"/>
      <c r="P54" s="35"/>
      <c r="Q54" s="35"/>
      <c r="R54" s="35"/>
      <c r="S54" s="35"/>
      <c r="T54" s="35"/>
      <c r="U54" s="35"/>
      <c r="V54" s="35"/>
      <c r="W54" s="35"/>
      <c r="X54" s="35"/>
      <c r="Y54" s="35"/>
      <c r="Z54" s="35"/>
      <c r="AA54" s="35"/>
    </row>
    <row r="55" spans="1:27" x14ac:dyDescent="0.3">
      <c r="A55" s="73" t="s">
        <v>138</v>
      </c>
      <c r="B55" s="101">
        <f t="shared" si="6"/>
        <v>0</v>
      </c>
      <c r="C55" s="102"/>
      <c r="D55" s="102"/>
      <c r="E55" s="102"/>
      <c r="F55" s="102"/>
      <c r="G55" s="102"/>
      <c r="H55" s="102"/>
      <c r="I55" s="102"/>
      <c r="J55" s="102"/>
      <c r="K55" s="102"/>
      <c r="L55" s="102"/>
      <c r="M55" s="102"/>
      <c r="N55" s="102"/>
      <c r="P55" s="35"/>
      <c r="Q55" s="35"/>
      <c r="R55" s="35"/>
      <c r="S55" s="35"/>
      <c r="T55" s="35"/>
      <c r="U55" s="35"/>
      <c r="V55" s="35"/>
      <c r="W55" s="35"/>
      <c r="X55" s="35"/>
      <c r="Y55" s="35"/>
      <c r="Z55" s="35"/>
      <c r="AA55" s="35"/>
    </row>
    <row r="56" spans="1:27" x14ac:dyDescent="0.3">
      <c r="A56" s="73" t="s">
        <v>138</v>
      </c>
      <c r="B56" s="101">
        <f t="shared" si="6"/>
        <v>0</v>
      </c>
      <c r="C56" s="102"/>
      <c r="D56" s="102"/>
      <c r="E56" s="102"/>
      <c r="F56" s="102"/>
      <c r="G56" s="102"/>
      <c r="H56" s="102"/>
      <c r="I56" s="102"/>
      <c r="J56" s="102"/>
      <c r="K56" s="102"/>
      <c r="L56" s="102"/>
      <c r="M56" s="102"/>
      <c r="N56" s="102"/>
      <c r="P56" s="35"/>
      <c r="Q56" s="35"/>
      <c r="R56" s="35"/>
      <c r="S56" s="35"/>
      <c r="T56" s="35"/>
      <c r="U56" s="35"/>
      <c r="V56" s="35"/>
      <c r="W56" s="35"/>
      <c r="X56" s="35"/>
      <c r="Y56" s="35"/>
      <c r="Z56" s="35"/>
      <c r="AA56" s="35"/>
    </row>
    <row r="57" spans="1:27" x14ac:dyDescent="0.3">
      <c r="A57" s="73" t="s">
        <v>138</v>
      </c>
      <c r="B57" s="101">
        <f t="shared" ref="B57:B70" si="7">SUM(C57:N57)</f>
        <v>0</v>
      </c>
      <c r="C57" s="102"/>
      <c r="D57" s="102"/>
      <c r="E57" s="102"/>
      <c r="F57" s="102"/>
      <c r="G57" s="102"/>
      <c r="H57" s="102"/>
      <c r="I57" s="102"/>
      <c r="J57" s="102"/>
      <c r="K57" s="102"/>
      <c r="L57" s="102"/>
      <c r="M57" s="102"/>
      <c r="N57" s="102"/>
      <c r="P57" s="35"/>
      <c r="Q57" s="35"/>
      <c r="R57" s="35"/>
      <c r="S57" s="35"/>
      <c r="T57" s="35"/>
      <c r="U57" s="35"/>
      <c r="V57" s="35"/>
      <c r="W57" s="35"/>
      <c r="X57" s="35"/>
      <c r="Y57" s="35"/>
      <c r="Z57" s="35"/>
      <c r="AA57" s="35"/>
    </row>
    <row r="58" spans="1:27" x14ac:dyDescent="0.3">
      <c r="A58" s="73" t="s">
        <v>138</v>
      </c>
      <c r="B58" s="101">
        <f t="shared" si="7"/>
        <v>0</v>
      </c>
      <c r="C58" s="102"/>
      <c r="D58" s="102"/>
      <c r="E58" s="102"/>
      <c r="F58" s="102"/>
      <c r="G58" s="102"/>
      <c r="H58" s="102"/>
      <c r="I58" s="102"/>
      <c r="J58" s="102"/>
      <c r="K58" s="102"/>
      <c r="L58" s="102"/>
      <c r="M58" s="102"/>
      <c r="N58" s="102"/>
      <c r="P58" s="35"/>
      <c r="Q58" s="35"/>
      <c r="R58" s="35"/>
      <c r="S58" s="35"/>
      <c r="T58" s="35"/>
      <c r="U58" s="35"/>
      <c r="V58" s="35"/>
      <c r="W58" s="35"/>
      <c r="X58" s="35"/>
      <c r="Y58" s="35"/>
      <c r="Z58" s="35"/>
      <c r="AA58" s="35"/>
    </row>
    <row r="59" spans="1:27" x14ac:dyDescent="0.3">
      <c r="A59" s="73" t="s">
        <v>138</v>
      </c>
      <c r="B59" s="101">
        <f t="shared" si="7"/>
        <v>0</v>
      </c>
      <c r="C59" s="102"/>
      <c r="D59" s="102"/>
      <c r="E59" s="102"/>
      <c r="F59" s="102"/>
      <c r="G59" s="102"/>
      <c r="H59" s="102"/>
      <c r="I59" s="102"/>
      <c r="J59" s="102"/>
      <c r="K59" s="102"/>
      <c r="L59" s="102"/>
      <c r="M59" s="102"/>
      <c r="N59" s="102"/>
      <c r="P59" s="35"/>
      <c r="Q59" s="35"/>
      <c r="R59" s="35"/>
      <c r="S59" s="35"/>
      <c r="T59" s="35"/>
      <c r="U59" s="35"/>
      <c r="V59" s="35"/>
      <c r="W59" s="35"/>
      <c r="X59" s="35"/>
      <c r="Y59" s="35"/>
      <c r="Z59" s="35"/>
      <c r="AA59" s="35"/>
    </row>
    <row r="60" spans="1:27" x14ac:dyDescent="0.3">
      <c r="A60" s="73" t="s">
        <v>138</v>
      </c>
      <c r="B60" s="101">
        <f t="shared" si="7"/>
        <v>0</v>
      </c>
      <c r="C60" s="102"/>
      <c r="D60" s="102"/>
      <c r="E60" s="102"/>
      <c r="F60" s="102"/>
      <c r="G60" s="102"/>
      <c r="H60" s="102"/>
      <c r="I60" s="102"/>
      <c r="J60" s="102"/>
      <c r="K60" s="102"/>
      <c r="L60" s="102"/>
      <c r="M60" s="102"/>
      <c r="N60" s="102"/>
      <c r="P60" s="35"/>
      <c r="Q60" s="35"/>
      <c r="R60" s="35"/>
      <c r="S60" s="35"/>
      <c r="T60" s="35"/>
      <c r="U60" s="35"/>
      <c r="V60" s="35"/>
      <c r="W60" s="35"/>
      <c r="X60" s="35"/>
      <c r="Y60" s="35"/>
      <c r="Z60" s="35"/>
      <c r="AA60" s="35"/>
    </row>
    <row r="61" spans="1:27" x14ac:dyDescent="0.3">
      <c r="A61" s="73" t="s">
        <v>138</v>
      </c>
      <c r="B61" s="101">
        <f t="shared" si="7"/>
        <v>0</v>
      </c>
      <c r="C61" s="102"/>
      <c r="D61" s="102"/>
      <c r="E61" s="102"/>
      <c r="F61" s="102"/>
      <c r="G61" s="102"/>
      <c r="H61" s="102"/>
      <c r="I61" s="102"/>
      <c r="J61" s="102"/>
      <c r="K61" s="102"/>
      <c r="L61" s="102"/>
      <c r="M61" s="102"/>
      <c r="N61" s="102"/>
      <c r="P61" s="35"/>
      <c r="Q61" s="35"/>
      <c r="R61" s="35"/>
      <c r="S61" s="35"/>
      <c r="T61" s="35"/>
      <c r="U61" s="35"/>
      <c r="V61" s="35"/>
      <c r="W61" s="35"/>
      <c r="X61" s="35"/>
      <c r="Y61" s="35"/>
      <c r="Z61" s="35"/>
      <c r="AA61" s="35"/>
    </row>
    <row r="62" spans="1:27" x14ac:dyDescent="0.3">
      <c r="A62" s="73" t="s">
        <v>138</v>
      </c>
      <c r="B62" s="101">
        <f t="shared" si="7"/>
        <v>0</v>
      </c>
      <c r="C62" s="102"/>
      <c r="D62" s="102"/>
      <c r="E62" s="102"/>
      <c r="F62" s="102"/>
      <c r="G62" s="102"/>
      <c r="H62" s="102"/>
      <c r="I62" s="102"/>
      <c r="J62" s="102"/>
      <c r="K62" s="102"/>
      <c r="L62" s="102"/>
      <c r="M62" s="102"/>
      <c r="N62" s="102"/>
      <c r="P62" s="35"/>
      <c r="Q62" s="35"/>
      <c r="R62" s="35"/>
      <c r="S62" s="35"/>
      <c r="T62" s="35"/>
      <c r="U62" s="35"/>
      <c r="V62" s="35"/>
      <c r="W62" s="35"/>
      <c r="X62" s="35"/>
      <c r="Y62" s="35"/>
      <c r="Z62" s="35"/>
      <c r="AA62" s="35"/>
    </row>
    <row r="63" spans="1:27" x14ac:dyDescent="0.3">
      <c r="A63" s="73" t="s">
        <v>138</v>
      </c>
      <c r="B63" s="101">
        <f t="shared" si="7"/>
        <v>0</v>
      </c>
      <c r="C63" s="102"/>
      <c r="D63" s="102"/>
      <c r="E63" s="102"/>
      <c r="F63" s="102"/>
      <c r="G63" s="102"/>
      <c r="H63" s="102"/>
      <c r="I63" s="102"/>
      <c r="J63" s="102"/>
      <c r="K63" s="102"/>
      <c r="L63" s="102"/>
      <c r="M63" s="102"/>
      <c r="N63" s="102"/>
      <c r="P63" s="35"/>
      <c r="Q63" s="35"/>
      <c r="R63" s="35"/>
      <c r="S63" s="35"/>
      <c r="T63" s="35"/>
      <c r="U63" s="35"/>
      <c r="V63" s="35"/>
      <c r="W63" s="35"/>
      <c r="X63" s="35"/>
      <c r="Y63" s="35"/>
      <c r="Z63" s="35"/>
      <c r="AA63" s="35"/>
    </row>
    <row r="64" spans="1:27" x14ac:dyDescent="0.3">
      <c r="A64" s="73" t="s">
        <v>138</v>
      </c>
      <c r="B64" s="101">
        <f t="shared" si="7"/>
        <v>0</v>
      </c>
      <c r="C64" s="102"/>
      <c r="D64" s="102"/>
      <c r="E64" s="102"/>
      <c r="F64" s="102"/>
      <c r="G64" s="102"/>
      <c r="H64" s="102"/>
      <c r="I64" s="102"/>
      <c r="J64" s="102"/>
      <c r="K64" s="102"/>
      <c r="L64" s="102"/>
      <c r="M64" s="102"/>
      <c r="N64" s="102"/>
      <c r="P64" s="35"/>
      <c r="Q64" s="35"/>
      <c r="R64" s="35"/>
      <c r="S64" s="35"/>
      <c r="T64" s="35"/>
      <c r="U64" s="35"/>
      <c r="V64" s="35"/>
      <c r="W64" s="35"/>
      <c r="X64" s="35"/>
      <c r="Y64" s="35"/>
      <c r="Z64" s="35"/>
      <c r="AA64" s="35"/>
    </row>
    <row r="65" spans="1:27" x14ac:dyDescent="0.3">
      <c r="A65" s="73" t="s">
        <v>138</v>
      </c>
      <c r="B65" s="101">
        <f t="shared" si="7"/>
        <v>0</v>
      </c>
      <c r="C65" s="102"/>
      <c r="D65" s="102"/>
      <c r="E65" s="102"/>
      <c r="F65" s="102"/>
      <c r="G65" s="102"/>
      <c r="H65" s="102"/>
      <c r="I65" s="102"/>
      <c r="J65" s="102"/>
      <c r="K65" s="102"/>
      <c r="L65" s="102"/>
      <c r="M65" s="102"/>
      <c r="N65" s="102"/>
      <c r="P65" s="35"/>
      <c r="Q65" s="35"/>
      <c r="R65" s="35"/>
      <c r="S65" s="35"/>
      <c r="T65" s="35"/>
      <c r="U65" s="35"/>
      <c r="V65" s="35"/>
      <c r="W65" s="35"/>
      <c r="X65" s="35"/>
      <c r="Y65" s="35"/>
      <c r="Z65" s="35"/>
      <c r="AA65" s="35"/>
    </row>
    <row r="66" spans="1:27" x14ac:dyDescent="0.3">
      <c r="A66" s="73" t="s">
        <v>138</v>
      </c>
      <c r="B66" s="101">
        <f t="shared" si="7"/>
        <v>0</v>
      </c>
      <c r="C66" s="102"/>
      <c r="D66" s="102"/>
      <c r="E66" s="102"/>
      <c r="F66" s="102"/>
      <c r="G66" s="102"/>
      <c r="H66" s="102"/>
      <c r="I66" s="102"/>
      <c r="J66" s="102"/>
      <c r="K66" s="102"/>
      <c r="L66" s="102"/>
      <c r="M66" s="102"/>
      <c r="N66" s="102"/>
      <c r="P66" s="35"/>
      <c r="Q66" s="35"/>
      <c r="R66" s="35"/>
      <c r="S66" s="35"/>
      <c r="T66" s="35"/>
      <c r="U66" s="35"/>
      <c r="V66" s="35"/>
      <c r="W66" s="35"/>
      <c r="X66" s="35"/>
      <c r="Y66" s="35"/>
      <c r="Z66" s="35"/>
      <c r="AA66" s="35"/>
    </row>
    <row r="67" spans="1:27" x14ac:dyDescent="0.3">
      <c r="A67" s="73" t="s">
        <v>138</v>
      </c>
      <c r="B67" s="101">
        <f t="shared" si="7"/>
        <v>0</v>
      </c>
      <c r="C67" s="102"/>
      <c r="D67" s="102"/>
      <c r="E67" s="102"/>
      <c r="F67" s="102"/>
      <c r="G67" s="102"/>
      <c r="H67" s="102"/>
      <c r="I67" s="102"/>
      <c r="J67" s="102"/>
      <c r="K67" s="102"/>
      <c r="L67" s="102"/>
      <c r="M67" s="102"/>
      <c r="N67" s="102"/>
      <c r="P67" s="35"/>
      <c r="Q67" s="35"/>
      <c r="R67" s="35"/>
      <c r="S67" s="35"/>
      <c r="T67" s="35"/>
      <c r="U67" s="35"/>
      <c r="V67" s="35"/>
      <c r="W67" s="35"/>
      <c r="X67" s="35"/>
      <c r="Y67" s="35"/>
      <c r="Z67" s="35"/>
      <c r="AA67" s="35"/>
    </row>
    <row r="68" spans="1:27" x14ac:dyDescent="0.3">
      <c r="A68" s="73" t="s">
        <v>138</v>
      </c>
      <c r="B68" s="101">
        <f t="shared" si="7"/>
        <v>0</v>
      </c>
      <c r="C68" s="102"/>
      <c r="D68" s="102"/>
      <c r="E68" s="102"/>
      <c r="F68" s="102"/>
      <c r="G68" s="102"/>
      <c r="H68" s="102"/>
      <c r="I68" s="102"/>
      <c r="J68" s="102"/>
      <c r="K68" s="102"/>
      <c r="L68" s="102"/>
      <c r="M68" s="102"/>
      <c r="N68" s="102"/>
      <c r="P68" s="35"/>
      <c r="Q68" s="35"/>
      <c r="R68" s="35"/>
      <c r="S68" s="35"/>
      <c r="T68" s="35"/>
      <c r="U68" s="35"/>
      <c r="V68" s="35"/>
      <c r="W68" s="35"/>
      <c r="X68" s="35"/>
      <c r="Y68" s="35"/>
      <c r="Z68" s="35"/>
      <c r="AA68" s="35"/>
    </row>
    <row r="69" spans="1:27" x14ac:dyDescent="0.3">
      <c r="A69" s="73" t="s">
        <v>138</v>
      </c>
      <c r="B69" s="101">
        <f t="shared" si="7"/>
        <v>0</v>
      </c>
      <c r="C69" s="102"/>
      <c r="D69" s="102"/>
      <c r="E69" s="102"/>
      <c r="F69" s="102"/>
      <c r="G69" s="102"/>
      <c r="H69" s="102"/>
      <c r="I69" s="102"/>
      <c r="J69" s="102"/>
      <c r="K69" s="102"/>
      <c r="L69" s="102"/>
      <c r="M69" s="102"/>
      <c r="N69" s="102"/>
      <c r="P69" s="35"/>
      <c r="Q69" s="35"/>
      <c r="R69" s="35"/>
      <c r="S69" s="35"/>
      <c r="T69" s="35"/>
      <c r="U69" s="35"/>
      <c r="V69" s="35"/>
      <c r="W69" s="35"/>
      <c r="X69" s="35"/>
      <c r="Y69" s="35"/>
      <c r="Z69" s="35"/>
      <c r="AA69" s="35"/>
    </row>
    <row r="70" spans="1:27" x14ac:dyDescent="0.3">
      <c r="A70" s="73" t="s">
        <v>138</v>
      </c>
      <c r="B70" s="101">
        <f t="shared" si="7"/>
        <v>0</v>
      </c>
      <c r="C70" s="102"/>
      <c r="D70" s="102"/>
      <c r="E70" s="102"/>
      <c r="F70" s="102"/>
      <c r="G70" s="102"/>
      <c r="H70" s="102"/>
      <c r="I70" s="102"/>
      <c r="J70" s="102"/>
      <c r="K70" s="102"/>
      <c r="L70" s="102"/>
      <c r="M70" s="102"/>
      <c r="N70" s="102"/>
      <c r="P70" s="35"/>
      <c r="Q70" s="35"/>
      <c r="R70" s="35"/>
      <c r="S70" s="35"/>
      <c r="T70" s="35"/>
      <c r="U70" s="35"/>
      <c r="V70" s="35"/>
      <c r="W70" s="35"/>
      <c r="X70" s="35"/>
      <c r="Y70" s="35"/>
      <c r="Z70" s="35"/>
      <c r="AA70" s="35"/>
    </row>
    <row r="71" spans="1:27" x14ac:dyDescent="0.3">
      <c r="A71" s="40" t="s">
        <v>9</v>
      </c>
      <c r="B71" s="103">
        <f>SUM(B41:B70)</f>
        <v>824999932.94000006</v>
      </c>
      <c r="C71" s="103">
        <f t="shared" ref="C71:N71" si="8">SUM(C41:C70)</f>
        <v>30343873.780000001</v>
      </c>
      <c r="D71" s="103">
        <f t="shared" si="8"/>
        <v>47367600</v>
      </c>
      <c r="E71" s="103">
        <f t="shared" si="8"/>
        <v>29410154</v>
      </c>
      <c r="F71" s="103">
        <f t="shared" si="8"/>
        <v>28103977.27</v>
      </c>
      <c r="G71" s="103">
        <f t="shared" si="8"/>
        <v>73879185.319999993</v>
      </c>
      <c r="H71" s="103">
        <f t="shared" si="8"/>
        <v>128534526</v>
      </c>
      <c r="I71" s="103">
        <f t="shared" si="8"/>
        <v>135884931.72999999</v>
      </c>
      <c r="J71" s="103">
        <f t="shared" si="8"/>
        <v>29916936.18</v>
      </c>
      <c r="K71" s="103">
        <f t="shared" si="8"/>
        <v>25967989.719999999</v>
      </c>
      <c r="L71" s="103">
        <f t="shared" si="8"/>
        <v>68597552.180000007</v>
      </c>
      <c r="M71" s="103">
        <f t="shared" si="8"/>
        <v>107703385.14</v>
      </c>
      <c r="N71" s="103">
        <f t="shared" si="8"/>
        <v>119289821.62</v>
      </c>
    </row>
    <row r="72" spans="1:27" ht="15" thickBot="1" x14ac:dyDescent="0.35">
      <c r="A72" s="41" t="s">
        <v>10</v>
      </c>
      <c r="B72" s="106">
        <f t="shared" ref="B72:N72" si="9">B39-B71</f>
        <v>167342846.3499999</v>
      </c>
      <c r="C72" s="106">
        <f t="shared" si="9"/>
        <v>6100608.2199999988</v>
      </c>
      <c r="D72" s="106">
        <f t="shared" si="9"/>
        <v>697584</v>
      </c>
      <c r="E72" s="106">
        <f t="shared" si="9"/>
        <v>-2177196</v>
      </c>
      <c r="F72" s="106">
        <f t="shared" si="9"/>
        <v>106004729.23</v>
      </c>
      <c r="G72" s="106">
        <f t="shared" si="9"/>
        <v>101969975.68000001</v>
      </c>
      <c r="H72" s="106">
        <f t="shared" si="9"/>
        <v>-42982897</v>
      </c>
      <c r="I72" s="106">
        <f t="shared" si="9"/>
        <v>-99782646.079999983</v>
      </c>
      <c r="J72" s="106">
        <f t="shared" si="9"/>
        <v>5557968.5700000003</v>
      </c>
      <c r="K72" s="106">
        <f t="shared" si="9"/>
        <v>42966005.969999999</v>
      </c>
      <c r="L72" s="106">
        <f t="shared" si="9"/>
        <v>142198839.31999999</v>
      </c>
      <c r="M72" s="106">
        <f t="shared" si="9"/>
        <v>-17692170.040000007</v>
      </c>
      <c r="N72" s="106">
        <f t="shared" si="9"/>
        <v>-75517955.520000011</v>
      </c>
    </row>
    <row r="73" spans="1:27" x14ac:dyDescent="0.3">
      <c r="A73" s="37" t="s">
        <v>170</v>
      </c>
      <c r="B73" s="37"/>
      <c r="C73" s="42"/>
      <c r="D73" s="42"/>
    </row>
    <row r="74" spans="1:27" x14ac:dyDescent="0.3">
      <c r="A74" s="38"/>
      <c r="B74" s="39" t="str">
        <f>CONCATENATE("TOTAL-",(RIGHT(B$141,4)-2))</f>
        <v>TOTAL-2019</v>
      </c>
      <c r="C74" s="39" t="str">
        <f>CONCATENATE(LEFT(C$141,4),(RIGHT(C$141,4)-2))</f>
        <v>JUL-2018</v>
      </c>
      <c r="D74" s="39" t="str">
        <f t="shared" ref="D74:N74" si="10">CONCATENATE(LEFT(D$141,4),(RIGHT(D$141,4)-2))</f>
        <v>AUG-2018</v>
      </c>
      <c r="E74" s="39" t="str">
        <f t="shared" si="10"/>
        <v>SEP-2018</v>
      </c>
      <c r="F74" s="39" t="str">
        <f t="shared" si="10"/>
        <v>OCT-2018</v>
      </c>
      <c r="G74" s="39" t="str">
        <f t="shared" si="10"/>
        <v>NOV-2018</v>
      </c>
      <c r="H74" s="39" t="str">
        <f t="shared" si="10"/>
        <v>DEC-2018</v>
      </c>
      <c r="I74" s="39" t="str">
        <f t="shared" si="10"/>
        <v>JAN-2019</v>
      </c>
      <c r="J74" s="39" t="str">
        <f t="shared" si="10"/>
        <v>FEB-2019</v>
      </c>
      <c r="K74" s="39" t="str">
        <f t="shared" si="10"/>
        <v>MAR-2019</v>
      </c>
      <c r="L74" s="39" t="str">
        <f t="shared" si="10"/>
        <v>APR-2019</v>
      </c>
      <c r="M74" s="39" t="str">
        <f t="shared" si="10"/>
        <v>MAY-2019</v>
      </c>
      <c r="N74" s="39" t="str">
        <f t="shared" si="10"/>
        <v>JUN-2019</v>
      </c>
    </row>
    <row r="75" spans="1:27" x14ac:dyDescent="0.3">
      <c r="A75" s="10" t="s">
        <v>6</v>
      </c>
      <c r="B75" s="10"/>
    </row>
    <row r="76" spans="1:27" x14ac:dyDescent="0.3">
      <c r="A76" s="4" t="str">
        <f t="shared" ref="A76:A105" si="11">A9</f>
        <v>PROPERTY TAX</v>
      </c>
      <c r="B76" s="101">
        <f>SUM(C76:N76)</f>
        <v>510278023</v>
      </c>
      <c r="C76" s="102">
        <v>4874893</v>
      </c>
      <c r="D76" s="102">
        <v>2174518</v>
      </c>
      <c r="E76" s="102">
        <v>6165571</v>
      </c>
      <c r="F76" s="102">
        <v>113619655</v>
      </c>
      <c r="G76" s="102">
        <v>137923971</v>
      </c>
      <c r="H76" s="102">
        <v>5306350</v>
      </c>
      <c r="I76" s="102">
        <v>4101379</v>
      </c>
      <c r="J76" s="102">
        <v>4904301</v>
      </c>
      <c r="K76" s="102">
        <v>42420741</v>
      </c>
      <c r="L76" s="102">
        <v>178092610</v>
      </c>
      <c r="M76" s="102">
        <v>6786339</v>
      </c>
      <c r="N76" s="102">
        <v>3907695</v>
      </c>
    </row>
    <row r="77" spans="1:27" x14ac:dyDescent="0.3">
      <c r="A77" s="4" t="str">
        <f t="shared" si="11"/>
        <v>SALES &amp; USE TAX</v>
      </c>
      <c r="B77" s="101">
        <f t="shared" ref="B77:B81" si="12">SUM(C77:N77)</f>
        <v>0</v>
      </c>
      <c r="C77" s="102"/>
      <c r="D77" s="102"/>
      <c r="E77" s="102"/>
      <c r="F77" s="102"/>
      <c r="G77" s="102"/>
      <c r="H77" s="102"/>
      <c r="I77" s="102"/>
      <c r="J77" s="102"/>
      <c r="K77" s="102"/>
      <c r="L77" s="102"/>
      <c r="M77" s="102"/>
      <c r="N77" s="102"/>
    </row>
    <row r="78" spans="1:27" x14ac:dyDescent="0.3">
      <c r="A78" s="4" t="str">
        <f t="shared" si="11"/>
        <v>FEES &amp; PERMITS</v>
      </c>
      <c r="B78" s="101">
        <f t="shared" si="12"/>
        <v>0</v>
      </c>
      <c r="C78" s="102"/>
      <c r="D78" s="102"/>
      <c r="E78" s="102"/>
      <c r="F78" s="102"/>
      <c r="G78" s="102"/>
      <c r="H78" s="102"/>
      <c r="I78" s="102"/>
      <c r="J78" s="102"/>
      <c r="K78" s="102"/>
      <c r="L78" s="102"/>
      <c r="M78" s="102"/>
      <c r="N78" s="102"/>
    </row>
    <row r="79" spans="1:27" x14ac:dyDescent="0.3">
      <c r="A79" s="4" t="str">
        <f t="shared" si="11"/>
        <v>FISCAL DISPARITIES</v>
      </c>
      <c r="B79" s="101">
        <f t="shared" si="12"/>
        <v>96723908</v>
      </c>
      <c r="C79" s="102"/>
      <c r="D79" s="102"/>
      <c r="E79" s="102"/>
      <c r="F79" s="102"/>
      <c r="G79" s="102"/>
      <c r="H79" s="102">
        <v>46010008</v>
      </c>
      <c r="I79" s="102">
        <v>2351951</v>
      </c>
      <c r="J79" s="102"/>
      <c r="K79" s="102"/>
      <c r="L79" s="102"/>
      <c r="M79" s="102">
        <v>48361949</v>
      </c>
      <c r="N79" s="102"/>
    </row>
    <row r="80" spans="1:27" x14ac:dyDescent="0.3">
      <c r="A80" s="4" t="str">
        <f t="shared" si="11"/>
        <v>BUSINESS LICENSE TAXES</v>
      </c>
      <c r="B80" s="101">
        <f t="shared" si="12"/>
        <v>0</v>
      </c>
      <c r="C80" s="102"/>
      <c r="D80" s="102"/>
      <c r="E80" s="102"/>
      <c r="F80" s="102"/>
      <c r="G80" s="102"/>
      <c r="H80" s="102"/>
      <c r="I80" s="102"/>
      <c r="J80" s="102"/>
      <c r="K80" s="102"/>
      <c r="L80" s="102"/>
      <c r="M80" s="102"/>
      <c r="N80" s="102"/>
    </row>
    <row r="81" spans="1:14" x14ac:dyDescent="0.3">
      <c r="A81" s="4" t="str">
        <f t="shared" si="11"/>
        <v>INTRAGOVT SVC CHARGES</v>
      </c>
      <c r="B81" s="101">
        <f t="shared" si="12"/>
        <v>0</v>
      </c>
      <c r="C81" s="102"/>
      <c r="D81" s="102"/>
      <c r="E81" s="102"/>
      <c r="F81" s="102"/>
      <c r="G81" s="102"/>
      <c r="H81" s="102"/>
      <c r="I81" s="102"/>
      <c r="J81" s="102"/>
      <c r="K81" s="102"/>
      <c r="L81" s="102"/>
      <c r="M81" s="102"/>
      <c r="N81" s="102"/>
    </row>
    <row r="82" spans="1:14" x14ac:dyDescent="0.3">
      <c r="A82" s="4" t="str">
        <f t="shared" si="11"/>
        <v>INTERGOVT REVENUES</v>
      </c>
      <c r="B82" s="101">
        <f t="shared" ref="B82" si="13">SUM(C82:N82)</f>
        <v>241047547</v>
      </c>
      <c r="C82" s="102">
        <v>20136183</v>
      </c>
      <c r="D82" s="102">
        <v>21389532</v>
      </c>
      <c r="E82" s="102">
        <v>21109779</v>
      </c>
      <c r="F82" s="102">
        <v>16466065</v>
      </c>
      <c r="G82" s="102">
        <v>24482830</v>
      </c>
      <c r="H82" s="102">
        <v>12380904</v>
      </c>
      <c r="I82" s="102">
        <v>31619512</v>
      </c>
      <c r="J82" s="102">
        <v>21470254</v>
      </c>
      <c r="K82" s="102">
        <v>13025048</v>
      </c>
      <c r="L82" s="102">
        <v>15475140</v>
      </c>
      <c r="M82" s="102">
        <v>22869297</v>
      </c>
      <c r="N82" s="102">
        <v>20623003</v>
      </c>
    </row>
    <row r="83" spans="1:14" x14ac:dyDescent="0.3">
      <c r="A83" s="4" t="str">
        <f t="shared" si="11"/>
        <v>REIMBURSEMENTS</v>
      </c>
      <c r="B83" s="101">
        <f t="shared" ref="B83" si="14">SUM(C83:N83)</f>
        <v>0</v>
      </c>
      <c r="C83" s="102"/>
      <c r="D83" s="102"/>
      <c r="E83" s="102"/>
      <c r="F83" s="102"/>
      <c r="G83" s="102"/>
      <c r="H83" s="102"/>
      <c r="I83" s="102"/>
      <c r="J83" s="102"/>
      <c r="K83" s="102"/>
      <c r="L83" s="102"/>
      <c r="M83" s="102"/>
      <c r="N83" s="102"/>
    </row>
    <row r="84" spans="1:14" x14ac:dyDescent="0.3">
      <c r="A84" s="4" t="str">
        <f t="shared" si="11"/>
        <v>DONATIONS/CONTRIBS/ INV INCOME</v>
      </c>
      <c r="B84" s="101">
        <f t="shared" ref="B84:B87" si="15">SUM(C84:N84)</f>
        <v>5633100</v>
      </c>
      <c r="C84" s="102">
        <v>318688</v>
      </c>
      <c r="D84" s="102">
        <v>590185</v>
      </c>
      <c r="E84" s="102">
        <v>229270</v>
      </c>
      <c r="F84" s="102">
        <v>312372</v>
      </c>
      <c r="G84" s="102">
        <v>395999</v>
      </c>
      <c r="H84" s="102">
        <v>638576</v>
      </c>
      <c r="I84" s="102">
        <v>309180</v>
      </c>
      <c r="J84" s="102">
        <v>683454</v>
      </c>
      <c r="K84" s="102">
        <v>275252</v>
      </c>
      <c r="L84" s="102">
        <v>426092</v>
      </c>
      <c r="M84" s="102">
        <v>599481</v>
      </c>
      <c r="N84" s="102">
        <f>154551+700000</f>
        <v>854551</v>
      </c>
    </row>
    <row r="85" spans="1:14" x14ac:dyDescent="0.3">
      <c r="A85" s="4" t="str">
        <f t="shared" si="11"/>
        <v>FINES &amp; FORFEITURES</v>
      </c>
      <c r="B85" s="101">
        <f t="shared" si="15"/>
        <v>0</v>
      </c>
      <c r="C85" s="102"/>
      <c r="D85" s="102"/>
      <c r="E85" s="102"/>
      <c r="F85" s="102"/>
      <c r="G85" s="102"/>
      <c r="H85" s="102"/>
      <c r="I85" s="102"/>
      <c r="J85" s="102"/>
      <c r="K85" s="102"/>
      <c r="L85" s="102"/>
      <c r="M85" s="102"/>
      <c r="N85" s="102"/>
    </row>
    <row r="86" spans="1:14" x14ac:dyDescent="0.3">
      <c r="A86" s="4" t="str">
        <f t="shared" si="11"/>
        <v>USE OF MONEY &amp; PROPERTY</v>
      </c>
      <c r="B86" s="101">
        <f t="shared" si="15"/>
        <v>0</v>
      </c>
      <c r="C86" s="102"/>
      <c r="D86" s="102"/>
      <c r="E86" s="102"/>
      <c r="F86" s="102"/>
      <c r="G86" s="102"/>
      <c r="H86" s="102"/>
      <c r="I86" s="102"/>
      <c r="J86" s="102"/>
      <c r="K86" s="102"/>
      <c r="L86" s="102"/>
      <c r="M86" s="102"/>
      <c r="N86" s="102"/>
    </row>
    <row r="87" spans="1:14" x14ac:dyDescent="0.3">
      <c r="A87" s="4" t="str">
        <f t="shared" si="11"/>
        <v>OTHER SOURCES / INV MATURITIES</v>
      </c>
      <c r="B87" s="101">
        <f t="shared" si="15"/>
        <v>72473335</v>
      </c>
      <c r="C87" s="102">
        <f>21228008-C84</f>
        <v>20909320</v>
      </c>
      <c r="D87" s="102">
        <f>2240232-D84</f>
        <v>1650047</v>
      </c>
      <c r="E87" s="102">
        <f>481876-E84</f>
        <v>252606</v>
      </c>
      <c r="F87" s="102">
        <f>3054110-F84</f>
        <v>2741738</v>
      </c>
      <c r="G87" s="102">
        <v>0</v>
      </c>
      <c r="H87" s="102">
        <f>28562922-H84</f>
        <v>27924346</v>
      </c>
      <c r="I87" s="102">
        <f>1267556-I84</f>
        <v>958376</v>
      </c>
      <c r="J87" s="102">
        <f>7526575-J84</f>
        <v>6843121</v>
      </c>
      <c r="K87" s="102">
        <f>1646581-K84</f>
        <v>1371329</v>
      </c>
      <c r="L87" s="102">
        <f>2391793-L84</f>
        <v>1965701</v>
      </c>
      <c r="M87" s="102">
        <f>8456232-M84</f>
        <v>7856751</v>
      </c>
      <c r="N87" s="102">
        <v>0</v>
      </c>
    </row>
    <row r="88" spans="1:14" x14ac:dyDescent="0.3">
      <c r="A88" s="4" t="str">
        <f t="shared" si="11"/>
        <v>TRANSIT TAX</v>
      </c>
      <c r="B88" s="101">
        <f t="shared" ref="B88:B91" si="16">SUM(C88:N88)</f>
        <v>11692376</v>
      </c>
      <c r="C88" s="102">
        <v>1012141</v>
      </c>
      <c r="D88" s="102">
        <v>956036</v>
      </c>
      <c r="E88" s="102">
        <v>909765</v>
      </c>
      <c r="F88" s="102">
        <v>772930</v>
      </c>
      <c r="G88" s="102">
        <v>960511</v>
      </c>
      <c r="H88" s="102">
        <v>891835</v>
      </c>
      <c r="I88" s="102">
        <v>1008025</v>
      </c>
      <c r="J88" s="102">
        <v>806274</v>
      </c>
      <c r="K88" s="102">
        <v>1269096</v>
      </c>
      <c r="L88" s="102">
        <v>1053798</v>
      </c>
      <c r="M88" s="102">
        <v>1015431</v>
      </c>
      <c r="N88" s="102">
        <v>1036534</v>
      </c>
    </row>
    <row r="89" spans="1:14" x14ac:dyDescent="0.3">
      <c r="A89" s="4" t="str">
        <f t="shared" si="11"/>
        <v>PARK</v>
      </c>
      <c r="B89" s="101">
        <f t="shared" si="16"/>
        <v>4628261</v>
      </c>
      <c r="C89" s="102">
        <v>218192</v>
      </c>
      <c r="D89" s="102">
        <v>103933</v>
      </c>
      <c r="E89" s="102">
        <v>96827</v>
      </c>
      <c r="F89" s="102">
        <v>112968</v>
      </c>
      <c r="G89" s="102">
        <v>370512</v>
      </c>
      <c r="H89" s="102">
        <v>749156</v>
      </c>
      <c r="I89" s="102">
        <v>1354006</v>
      </c>
      <c r="J89" s="102">
        <v>1020234</v>
      </c>
      <c r="K89" s="102">
        <v>337369</v>
      </c>
      <c r="L89" s="102">
        <v>149610</v>
      </c>
      <c r="M89" s="102">
        <v>33466</v>
      </c>
      <c r="N89" s="102">
        <v>81988</v>
      </c>
    </row>
    <row r="90" spans="1:14" x14ac:dyDescent="0.3">
      <c r="A90" s="4" t="str">
        <f t="shared" si="11"/>
        <v>LIBRARY</v>
      </c>
      <c r="B90" s="101">
        <f t="shared" si="16"/>
        <v>604126</v>
      </c>
      <c r="C90" s="102">
        <v>28219</v>
      </c>
      <c r="D90" s="102">
        <v>23508</v>
      </c>
      <c r="E90" s="102">
        <v>87588</v>
      </c>
      <c r="F90" s="102">
        <v>71119</v>
      </c>
      <c r="G90" s="102">
        <v>34747</v>
      </c>
      <c r="H90" s="102">
        <v>27319</v>
      </c>
      <c r="I90" s="102">
        <v>30154</v>
      </c>
      <c r="J90" s="102">
        <v>48336</v>
      </c>
      <c r="K90" s="102">
        <v>24404</v>
      </c>
      <c r="L90" s="102">
        <v>126236</v>
      </c>
      <c r="M90" s="102">
        <v>72910</v>
      </c>
      <c r="N90" s="102">
        <v>29586</v>
      </c>
    </row>
    <row r="91" spans="1:14" x14ac:dyDescent="0.3">
      <c r="A91" s="4" t="str">
        <f t="shared" si="11"/>
        <v>FINANCING PROCEEDS</v>
      </c>
      <c r="B91" s="101">
        <f t="shared" si="16"/>
        <v>0</v>
      </c>
      <c r="C91" s="102"/>
      <c r="D91" s="102"/>
      <c r="E91" s="102"/>
      <c r="F91" s="102"/>
      <c r="G91" s="102"/>
      <c r="H91" s="102"/>
      <c r="I91" s="102"/>
      <c r="J91" s="102"/>
      <c r="K91" s="102"/>
      <c r="L91" s="102"/>
      <c r="M91" s="102"/>
      <c r="N91" s="102"/>
    </row>
    <row r="92" spans="1:14" x14ac:dyDescent="0.3">
      <c r="A92" s="4" t="str">
        <f t="shared" si="11"/>
        <v>OTHER NON-RECURRING SOURCES</v>
      </c>
      <c r="B92" s="101">
        <f t="shared" ref="B92:B105" si="17">SUM(C92:N92)</f>
        <v>0</v>
      </c>
      <c r="C92" s="102"/>
      <c r="D92" s="102"/>
      <c r="E92" s="102"/>
      <c r="F92" s="102"/>
      <c r="G92" s="102"/>
      <c r="H92" s="102"/>
      <c r="I92" s="102"/>
      <c r="J92" s="102"/>
      <c r="K92" s="102"/>
      <c r="L92" s="102"/>
      <c r="M92" s="102"/>
      <c r="N92" s="102"/>
    </row>
    <row r="93" spans="1:14" x14ac:dyDescent="0.3">
      <c r="A93" s="4" t="str">
        <f t="shared" si="11"/>
        <v>OTHER SOURCES</v>
      </c>
      <c r="B93" s="101">
        <f t="shared" si="17"/>
        <v>0</v>
      </c>
      <c r="C93" s="102"/>
      <c r="D93" s="102"/>
      <c r="E93" s="102"/>
      <c r="F93" s="102"/>
      <c r="G93" s="102"/>
      <c r="H93" s="102"/>
      <c r="I93" s="102"/>
      <c r="J93" s="102"/>
      <c r="K93" s="102"/>
      <c r="L93" s="102"/>
      <c r="M93" s="102"/>
      <c r="N93" s="102"/>
    </row>
    <row r="94" spans="1:14" x14ac:dyDescent="0.3">
      <c r="A94" s="4" t="str">
        <f t="shared" si="11"/>
        <v>OTHER SOURCES</v>
      </c>
      <c r="B94" s="101">
        <f t="shared" si="17"/>
        <v>0</v>
      </c>
      <c r="C94" s="102"/>
      <c r="D94" s="102"/>
      <c r="E94" s="102"/>
      <c r="F94" s="102"/>
      <c r="G94" s="102"/>
      <c r="H94" s="102"/>
      <c r="I94" s="102"/>
      <c r="J94" s="102"/>
      <c r="K94" s="102"/>
      <c r="L94" s="102"/>
      <c r="M94" s="102"/>
      <c r="N94" s="102"/>
    </row>
    <row r="95" spans="1:14" x14ac:dyDescent="0.3">
      <c r="A95" s="4" t="str">
        <f t="shared" si="11"/>
        <v>OTHER SOURCES</v>
      </c>
      <c r="B95" s="101">
        <f t="shared" si="17"/>
        <v>0</v>
      </c>
      <c r="C95" s="102"/>
      <c r="D95" s="102"/>
      <c r="E95" s="102"/>
      <c r="F95" s="102"/>
      <c r="G95" s="102"/>
      <c r="H95" s="102"/>
      <c r="I95" s="102"/>
      <c r="J95" s="102"/>
      <c r="K95" s="102"/>
      <c r="L95" s="102"/>
      <c r="M95" s="102"/>
      <c r="N95" s="102"/>
    </row>
    <row r="96" spans="1:14" x14ac:dyDescent="0.3">
      <c r="A96" s="4" t="str">
        <f t="shared" si="11"/>
        <v>OTHER SOURCES</v>
      </c>
      <c r="B96" s="101">
        <f t="shared" si="17"/>
        <v>0</v>
      </c>
      <c r="C96" s="102"/>
      <c r="D96" s="102"/>
      <c r="E96" s="102"/>
      <c r="F96" s="102"/>
      <c r="G96" s="102"/>
      <c r="H96" s="102"/>
      <c r="I96" s="102"/>
      <c r="J96" s="102"/>
      <c r="K96" s="102"/>
      <c r="L96" s="102"/>
      <c r="M96" s="102"/>
      <c r="N96" s="102"/>
    </row>
    <row r="97" spans="1:27" x14ac:dyDescent="0.3">
      <c r="A97" s="4" t="str">
        <f t="shared" si="11"/>
        <v>OTHER SOURCES</v>
      </c>
      <c r="B97" s="101">
        <f t="shared" si="17"/>
        <v>0</v>
      </c>
      <c r="C97" s="102"/>
      <c r="D97" s="102"/>
      <c r="E97" s="102"/>
      <c r="F97" s="102"/>
      <c r="G97" s="102"/>
      <c r="H97" s="102"/>
      <c r="I97" s="102"/>
      <c r="J97" s="102"/>
      <c r="K97" s="102"/>
      <c r="L97" s="102"/>
      <c r="M97" s="102"/>
      <c r="N97" s="102"/>
    </row>
    <row r="98" spans="1:27" x14ac:dyDescent="0.3">
      <c r="A98" s="4" t="str">
        <f t="shared" si="11"/>
        <v>OTHER SOURCES</v>
      </c>
      <c r="B98" s="101">
        <f t="shared" si="17"/>
        <v>0</v>
      </c>
      <c r="C98" s="102"/>
      <c r="D98" s="102"/>
      <c r="E98" s="102"/>
      <c r="F98" s="102"/>
      <c r="G98" s="102"/>
      <c r="H98" s="102"/>
      <c r="I98" s="102"/>
      <c r="J98" s="102"/>
      <c r="K98" s="102"/>
      <c r="L98" s="102"/>
      <c r="M98" s="102"/>
      <c r="N98" s="102"/>
    </row>
    <row r="99" spans="1:27" x14ac:dyDescent="0.3">
      <c r="A99" s="4" t="str">
        <f t="shared" si="11"/>
        <v>OTHER SOURCES</v>
      </c>
      <c r="B99" s="101">
        <f t="shared" si="17"/>
        <v>0</v>
      </c>
      <c r="C99" s="102"/>
      <c r="D99" s="102"/>
      <c r="E99" s="102"/>
      <c r="F99" s="102"/>
      <c r="G99" s="102"/>
      <c r="H99" s="102"/>
      <c r="I99" s="102"/>
      <c r="J99" s="102"/>
      <c r="K99" s="102"/>
      <c r="L99" s="102"/>
      <c r="M99" s="102"/>
      <c r="N99" s="102"/>
    </row>
    <row r="100" spans="1:27" x14ac:dyDescent="0.3">
      <c r="A100" s="4" t="str">
        <f t="shared" si="11"/>
        <v>OTHER SOURCES</v>
      </c>
      <c r="B100" s="101">
        <f t="shared" si="17"/>
        <v>0</v>
      </c>
      <c r="C100" s="102"/>
      <c r="D100" s="102"/>
      <c r="E100" s="102"/>
      <c r="F100" s="102"/>
      <c r="G100" s="102"/>
      <c r="H100" s="102"/>
      <c r="I100" s="102"/>
      <c r="J100" s="102"/>
      <c r="K100" s="102"/>
      <c r="L100" s="102"/>
      <c r="M100" s="102"/>
      <c r="N100" s="102"/>
    </row>
    <row r="101" spans="1:27" x14ac:dyDescent="0.3">
      <c r="A101" s="4" t="str">
        <f t="shared" si="11"/>
        <v>OTHER SOURCES</v>
      </c>
      <c r="B101" s="101">
        <f t="shared" si="17"/>
        <v>0</v>
      </c>
      <c r="C101" s="102"/>
      <c r="D101" s="102"/>
      <c r="E101" s="102"/>
      <c r="F101" s="102"/>
      <c r="G101" s="102"/>
      <c r="H101" s="102"/>
      <c r="I101" s="102"/>
      <c r="J101" s="102"/>
      <c r="K101" s="102"/>
      <c r="L101" s="102"/>
      <c r="M101" s="102"/>
      <c r="N101" s="102"/>
    </row>
    <row r="102" spans="1:27" x14ac:dyDescent="0.3">
      <c r="A102" s="4" t="str">
        <f t="shared" si="11"/>
        <v>OTHER SOURCES</v>
      </c>
      <c r="B102" s="101">
        <f t="shared" si="17"/>
        <v>0</v>
      </c>
      <c r="C102" s="102"/>
      <c r="D102" s="102"/>
      <c r="E102" s="102"/>
      <c r="F102" s="102"/>
      <c r="G102" s="102"/>
      <c r="H102" s="102"/>
      <c r="I102" s="102"/>
      <c r="J102" s="102"/>
      <c r="K102" s="102"/>
      <c r="L102" s="102"/>
      <c r="M102" s="102"/>
      <c r="N102" s="102"/>
    </row>
    <row r="103" spans="1:27" x14ac:dyDescent="0.3">
      <c r="A103" s="4" t="str">
        <f t="shared" si="11"/>
        <v>OTHER SOURCES</v>
      </c>
      <c r="B103" s="101">
        <f t="shared" si="17"/>
        <v>0</v>
      </c>
      <c r="C103" s="102"/>
      <c r="D103" s="102"/>
      <c r="E103" s="102"/>
      <c r="F103" s="102"/>
      <c r="G103" s="102"/>
      <c r="H103" s="102"/>
      <c r="I103" s="102"/>
      <c r="J103" s="102"/>
      <c r="K103" s="102"/>
      <c r="L103" s="102"/>
      <c r="M103" s="102"/>
      <c r="N103" s="102"/>
    </row>
    <row r="104" spans="1:27" x14ac:dyDescent="0.3">
      <c r="A104" s="4" t="str">
        <f t="shared" si="11"/>
        <v>OTHER SOURCES</v>
      </c>
      <c r="B104" s="101">
        <f t="shared" si="17"/>
        <v>0</v>
      </c>
      <c r="C104" s="102"/>
      <c r="D104" s="102"/>
      <c r="E104" s="102"/>
      <c r="F104" s="102"/>
      <c r="G104" s="102"/>
      <c r="H104" s="102"/>
      <c r="I104" s="102"/>
      <c r="J104" s="102"/>
      <c r="K104" s="102"/>
      <c r="L104" s="102"/>
      <c r="M104" s="102"/>
      <c r="N104" s="102"/>
    </row>
    <row r="105" spans="1:27" x14ac:dyDescent="0.3">
      <c r="A105" s="4" t="str">
        <f t="shared" si="11"/>
        <v>OTHER SOURCES</v>
      </c>
      <c r="B105" s="101">
        <f t="shared" si="17"/>
        <v>0</v>
      </c>
      <c r="C105" s="102"/>
      <c r="D105" s="102"/>
      <c r="E105" s="102"/>
      <c r="F105" s="102"/>
      <c r="G105" s="102"/>
      <c r="H105" s="102"/>
      <c r="I105" s="102"/>
      <c r="J105" s="102"/>
      <c r="K105" s="102"/>
      <c r="L105" s="102"/>
      <c r="M105" s="102"/>
      <c r="N105" s="102"/>
    </row>
    <row r="106" spans="1:27" x14ac:dyDescent="0.3">
      <c r="A106" s="40" t="s">
        <v>8</v>
      </c>
      <c r="B106" s="103">
        <f t="shared" ref="B106:N106" si="18">SUM(B76:B105)</f>
        <v>943080676</v>
      </c>
      <c r="C106" s="103">
        <f t="shared" si="18"/>
        <v>47497636</v>
      </c>
      <c r="D106" s="103">
        <f t="shared" si="18"/>
        <v>26887759</v>
      </c>
      <c r="E106" s="103">
        <f t="shared" si="18"/>
        <v>28851406</v>
      </c>
      <c r="F106" s="103">
        <f t="shared" si="18"/>
        <v>134096847</v>
      </c>
      <c r="G106" s="103">
        <f t="shared" si="18"/>
        <v>164168570</v>
      </c>
      <c r="H106" s="103">
        <f t="shared" si="18"/>
        <v>93928494</v>
      </c>
      <c r="I106" s="103">
        <f t="shared" si="18"/>
        <v>41732583</v>
      </c>
      <c r="J106" s="103">
        <f t="shared" si="18"/>
        <v>35775974</v>
      </c>
      <c r="K106" s="103">
        <f t="shared" si="18"/>
        <v>58723239</v>
      </c>
      <c r="L106" s="103">
        <f t="shared" si="18"/>
        <v>197289187</v>
      </c>
      <c r="M106" s="103">
        <f t="shared" si="18"/>
        <v>87595624</v>
      </c>
      <c r="N106" s="103">
        <f t="shared" si="18"/>
        <v>26533357</v>
      </c>
    </row>
    <row r="107" spans="1:27" x14ac:dyDescent="0.3">
      <c r="A107" s="10" t="s">
        <v>7</v>
      </c>
      <c r="B107" s="104"/>
      <c r="C107" s="107"/>
      <c r="D107" s="107"/>
      <c r="E107" s="107"/>
      <c r="F107" s="107"/>
      <c r="G107" s="107"/>
      <c r="H107" s="107"/>
      <c r="I107" s="107"/>
      <c r="J107" s="107"/>
      <c r="K107" s="107"/>
      <c r="L107" s="107"/>
      <c r="M107" s="107"/>
      <c r="N107" s="107"/>
    </row>
    <row r="108" spans="1:27" x14ac:dyDescent="0.3">
      <c r="A108" s="4" t="str">
        <f t="shared" ref="A108:A121" si="19">A41</f>
        <v>SALARIES &amp; WAGES</v>
      </c>
      <c r="B108" s="101">
        <f t="shared" ref="B108:B111" si="20">SUM(C108:N108)</f>
        <v>113980179</v>
      </c>
      <c r="C108" s="102">
        <v>8828889</v>
      </c>
      <c r="D108" s="102">
        <v>8268207</v>
      </c>
      <c r="E108" s="102">
        <v>8702812</v>
      </c>
      <c r="F108" s="102">
        <v>8943280</v>
      </c>
      <c r="G108" s="102">
        <v>8480934</v>
      </c>
      <c r="H108" s="102">
        <v>13098474</v>
      </c>
      <c r="I108" s="102">
        <v>9169164</v>
      </c>
      <c r="J108" s="102">
        <v>8837393</v>
      </c>
      <c r="K108" s="102">
        <v>8665040</v>
      </c>
      <c r="L108" s="102">
        <v>8587387</v>
      </c>
      <c r="M108" s="102">
        <v>13804801</v>
      </c>
      <c r="N108" s="102">
        <v>8593798</v>
      </c>
      <c r="P108" s="35"/>
      <c r="Q108" s="35"/>
      <c r="R108" s="35"/>
      <c r="S108" s="35"/>
      <c r="T108" s="35"/>
      <c r="U108" s="35"/>
      <c r="V108" s="35"/>
      <c r="W108" s="35"/>
      <c r="X108" s="35"/>
      <c r="Y108" s="35"/>
      <c r="Z108" s="35"/>
      <c r="AA108" s="35"/>
    </row>
    <row r="109" spans="1:27" x14ac:dyDescent="0.3">
      <c r="A109" s="4" t="str">
        <f t="shared" si="19"/>
        <v>BENEFITS</v>
      </c>
      <c r="B109" s="101">
        <f t="shared" si="20"/>
        <v>22977569</v>
      </c>
      <c r="C109" s="102">
        <v>1730342</v>
      </c>
      <c r="D109" s="102">
        <v>1778476</v>
      </c>
      <c r="E109" s="102">
        <v>1813627</v>
      </c>
      <c r="F109" s="102">
        <v>1782040</v>
      </c>
      <c r="G109" s="102">
        <v>1767301</v>
      </c>
      <c r="H109" s="102">
        <v>2561479</v>
      </c>
      <c r="I109" s="102">
        <v>1808028</v>
      </c>
      <c r="J109" s="102">
        <v>1755245</v>
      </c>
      <c r="K109" s="102">
        <v>1745417</v>
      </c>
      <c r="L109" s="102">
        <v>1735134</v>
      </c>
      <c r="M109" s="102">
        <v>2624252</v>
      </c>
      <c r="N109" s="102">
        <v>1876228</v>
      </c>
      <c r="P109" s="35"/>
      <c r="Q109" s="35"/>
      <c r="R109" s="35"/>
      <c r="S109" s="35"/>
      <c r="T109" s="35"/>
      <c r="U109" s="35"/>
      <c r="V109" s="35"/>
      <c r="W109" s="35"/>
      <c r="X109" s="35"/>
      <c r="Y109" s="35"/>
      <c r="Z109" s="35"/>
      <c r="AA109" s="35"/>
    </row>
    <row r="110" spans="1:27" x14ac:dyDescent="0.3">
      <c r="A110" s="4" t="str">
        <f t="shared" si="19"/>
        <v>CONTRACTUAL SERVICES</v>
      </c>
      <c r="B110" s="101">
        <f t="shared" si="20"/>
        <v>212241208</v>
      </c>
      <c r="C110" s="102">
        <v>21971496</v>
      </c>
      <c r="D110" s="102">
        <v>15998766</v>
      </c>
      <c r="E110" s="102">
        <v>16106945</v>
      </c>
      <c r="F110" s="102">
        <v>17865209</v>
      </c>
      <c r="G110" s="102">
        <v>16751881</v>
      </c>
      <c r="H110" s="102">
        <v>17161068</v>
      </c>
      <c r="I110" s="102">
        <v>18125968</v>
      </c>
      <c r="J110" s="102">
        <v>22695896</v>
      </c>
      <c r="K110" s="102">
        <v>16751684</v>
      </c>
      <c r="L110" s="102">
        <v>18035018</v>
      </c>
      <c r="M110" s="102">
        <v>18182048</v>
      </c>
      <c r="N110" s="102">
        <v>12595229</v>
      </c>
      <c r="P110" s="35"/>
      <c r="Q110" s="35"/>
      <c r="R110" s="35"/>
      <c r="S110" s="35"/>
      <c r="T110" s="35"/>
      <c r="U110" s="35"/>
      <c r="V110" s="35"/>
      <c r="W110" s="35"/>
      <c r="X110" s="35"/>
      <c r="Y110" s="35"/>
      <c r="Z110" s="35"/>
      <c r="AA110" s="35"/>
    </row>
    <row r="111" spans="1:27" x14ac:dyDescent="0.3">
      <c r="A111" s="4" t="str">
        <f t="shared" si="19"/>
        <v>UTILITIES</v>
      </c>
      <c r="B111" s="101">
        <f t="shared" si="20"/>
        <v>0</v>
      </c>
      <c r="C111" s="102"/>
      <c r="D111" s="102"/>
      <c r="E111" s="102"/>
      <c r="F111" s="102"/>
      <c r="G111" s="102"/>
      <c r="H111" s="102"/>
      <c r="I111" s="102"/>
      <c r="J111" s="102"/>
      <c r="K111" s="102"/>
      <c r="L111" s="102"/>
      <c r="M111" s="102"/>
      <c r="N111" s="102"/>
      <c r="P111" s="35"/>
      <c r="Q111" s="35"/>
      <c r="R111" s="35"/>
      <c r="S111" s="35"/>
      <c r="T111" s="35"/>
      <c r="U111" s="35"/>
      <c r="V111" s="35"/>
      <c r="W111" s="35"/>
      <c r="X111" s="35"/>
      <c r="Y111" s="35"/>
      <c r="Z111" s="35"/>
      <c r="AA111" s="35"/>
    </row>
    <row r="112" spans="1:27" x14ac:dyDescent="0.3">
      <c r="A112" s="4" t="str">
        <f t="shared" si="19"/>
        <v>MAINTENANCE AND REPAIRS</v>
      </c>
      <c r="B112" s="101">
        <f t="shared" ref="B112" si="21">SUM(C112:N112)</f>
        <v>0</v>
      </c>
      <c r="C112" s="102"/>
      <c r="D112" s="102"/>
      <c r="E112" s="102"/>
      <c r="F112" s="102"/>
      <c r="G112" s="102"/>
      <c r="H112" s="102"/>
      <c r="I112" s="102"/>
      <c r="J112" s="102"/>
      <c r="K112" s="102"/>
      <c r="L112" s="102"/>
      <c r="M112" s="102"/>
      <c r="N112" s="102"/>
      <c r="P112" s="35"/>
      <c r="Q112" s="35"/>
      <c r="R112" s="35"/>
      <c r="S112" s="35"/>
      <c r="T112" s="35"/>
      <c r="U112" s="35"/>
      <c r="V112" s="35"/>
      <c r="W112" s="35"/>
      <c r="X112" s="35"/>
      <c r="Y112" s="35"/>
      <c r="Z112" s="35"/>
      <c r="AA112" s="35"/>
    </row>
    <row r="113" spans="1:27" x14ac:dyDescent="0.3">
      <c r="A113" s="4" t="str">
        <f t="shared" si="19"/>
        <v>FISCAL DISPARITIES</v>
      </c>
      <c r="B113" s="101">
        <f t="shared" ref="B113" si="22">SUM(C113:N113)</f>
        <v>66691562</v>
      </c>
      <c r="C113" s="102"/>
      <c r="D113" s="102"/>
      <c r="E113" s="102"/>
      <c r="F113" s="102"/>
      <c r="G113" s="102"/>
      <c r="H113" s="102">
        <v>31724107</v>
      </c>
      <c r="I113" s="102">
        <v>1621674</v>
      </c>
      <c r="J113" s="102"/>
      <c r="K113" s="102"/>
      <c r="L113" s="102"/>
      <c r="M113" s="102">
        <v>33345781</v>
      </c>
      <c r="N113" s="102"/>
      <c r="P113" s="35"/>
      <c r="Q113" s="35"/>
      <c r="R113" s="35"/>
      <c r="S113" s="35"/>
      <c r="T113" s="35"/>
      <c r="U113" s="35"/>
      <c r="V113" s="35"/>
      <c r="W113" s="35"/>
      <c r="X113" s="35"/>
      <c r="Y113" s="35"/>
      <c r="Z113" s="35"/>
      <c r="AA113" s="35"/>
    </row>
    <row r="114" spans="1:27" x14ac:dyDescent="0.3">
      <c r="A114" s="4" t="str">
        <f t="shared" si="19"/>
        <v>CAPITAL</v>
      </c>
      <c r="B114" s="101">
        <f t="shared" ref="B114" si="23">SUM(C114:N114)</f>
        <v>0</v>
      </c>
      <c r="C114" s="102"/>
      <c r="D114" s="102"/>
      <c r="E114" s="102"/>
      <c r="F114" s="102"/>
      <c r="G114" s="102"/>
      <c r="H114" s="102"/>
      <c r="I114" s="102"/>
      <c r="J114" s="102"/>
      <c r="K114" s="102"/>
      <c r="L114" s="102"/>
      <c r="M114" s="102"/>
      <c r="N114" s="102"/>
      <c r="P114" s="35"/>
      <c r="Q114" s="35"/>
      <c r="R114" s="35"/>
      <c r="S114" s="35"/>
      <c r="T114" s="35"/>
      <c r="U114" s="35"/>
      <c r="V114" s="35"/>
      <c r="W114" s="35"/>
      <c r="X114" s="35"/>
      <c r="Y114" s="35"/>
      <c r="Z114" s="35"/>
      <c r="AA114" s="35"/>
    </row>
    <row r="115" spans="1:27" x14ac:dyDescent="0.3">
      <c r="A115" s="4" t="str">
        <f t="shared" si="19"/>
        <v>GRANTS</v>
      </c>
      <c r="B115" s="101">
        <f t="shared" ref="B115:B121" si="24">SUM(C115:N115)</f>
        <v>0</v>
      </c>
      <c r="C115" s="102"/>
      <c r="D115" s="102"/>
      <c r="E115" s="102"/>
      <c r="F115" s="102"/>
      <c r="G115" s="102"/>
      <c r="H115" s="102"/>
      <c r="I115" s="102"/>
      <c r="J115" s="102"/>
      <c r="K115" s="102"/>
      <c r="L115" s="102"/>
      <c r="M115" s="102"/>
      <c r="N115" s="102"/>
      <c r="P115" s="35"/>
      <c r="Q115" s="35"/>
      <c r="R115" s="35"/>
      <c r="S115" s="35"/>
      <c r="T115" s="35"/>
      <c r="U115" s="35"/>
      <c r="V115" s="35"/>
      <c r="W115" s="35"/>
      <c r="X115" s="35"/>
      <c r="Y115" s="35"/>
      <c r="Z115" s="35"/>
      <c r="AA115" s="35"/>
    </row>
    <row r="116" spans="1:27" x14ac:dyDescent="0.3">
      <c r="A116" s="4" t="str">
        <f t="shared" si="19"/>
        <v>TRANSFERS/OTHER</v>
      </c>
      <c r="B116" s="101">
        <f t="shared" si="24"/>
        <v>0</v>
      </c>
      <c r="C116" s="102"/>
      <c r="D116" s="102"/>
      <c r="E116" s="102"/>
      <c r="F116" s="102"/>
      <c r="G116" s="102"/>
      <c r="H116" s="102"/>
      <c r="I116" s="102"/>
      <c r="J116" s="102"/>
      <c r="K116" s="102"/>
      <c r="L116" s="102"/>
      <c r="M116" s="102"/>
      <c r="N116" s="102"/>
      <c r="P116" s="35"/>
      <c r="Q116" s="35"/>
      <c r="R116" s="35"/>
      <c r="S116" s="35"/>
      <c r="T116" s="35"/>
      <c r="U116" s="35"/>
      <c r="V116" s="35"/>
      <c r="W116" s="35"/>
      <c r="X116" s="35"/>
      <c r="Y116" s="35"/>
      <c r="Z116" s="35"/>
      <c r="AA116" s="35"/>
    </row>
    <row r="117" spans="1:27" x14ac:dyDescent="0.3">
      <c r="A117" s="4" t="str">
        <f t="shared" si="19"/>
        <v>MTGE/DEED/TAXES/FEES</v>
      </c>
      <c r="B117" s="101">
        <f t="shared" si="24"/>
        <v>15406464</v>
      </c>
      <c r="C117" s="102">
        <v>1003709</v>
      </c>
      <c r="D117" s="102">
        <v>1212467</v>
      </c>
      <c r="E117" s="102">
        <v>1052071</v>
      </c>
      <c r="F117" s="102">
        <v>927382</v>
      </c>
      <c r="G117" s="102">
        <v>1066976</v>
      </c>
      <c r="H117" s="102">
        <v>2512983</v>
      </c>
      <c r="I117" s="102">
        <v>7470</v>
      </c>
      <c r="J117" s="102">
        <v>1855569</v>
      </c>
      <c r="K117" s="102">
        <v>1538588</v>
      </c>
      <c r="L117" s="102">
        <v>1304628</v>
      </c>
      <c r="M117" s="102">
        <v>1711139</v>
      </c>
      <c r="N117" s="102">
        <v>1213482</v>
      </c>
      <c r="P117" s="35"/>
      <c r="Q117" s="35"/>
      <c r="R117" s="35"/>
      <c r="S117" s="35"/>
      <c r="T117" s="35"/>
      <c r="U117" s="35"/>
      <c r="V117" s="35"/>
      <c r="W117" s="35"/>
      <c r="X117" s="35"/>
      <c r="Y117" s="35"/>
      <c r="Z117" s="35"/>
      <c r="AA117" s="35"/>
    </row>
    <row r="118" spans="1:27" x14ac:dyDescent="0.3">
      <c r="A118" s="4" t="str">
        <f t="shared" si="19"/>
        <v>DEBT PYMTS</v>
      </c>
      <c r="B118" s="101">
        <f t="shared" si="24"/>
        <v>15908810</v>
      </c>
      <c r="C118" s="102">
        <v>223281</v>
      </c>
      <c r="D118" s="102">
        <v>13642392</v>
      </c>
      <c r="E118" s="102">
        <v>0</v>
      </c>
      <c r="F118" s="102">
        <v>0</v>
      </c>
      <c r="G118" s="102">
        <v>129542</v>
      </c>
      <c r="H118" s="102">
        <v>0</v>
      </c>
      <c r="I118" s="102">
        <v>1881252</v>
      </c>
      <c r="J118" s="102">
        <v>0</v>
      </c>
      <c r="K118" s="102">
        <v>0</v>
      </c>
      <c r="L118" s="102">
        <v>0</v>
      </c>
      <c r="M118" s="102">
        <v>32343</v>
      </c>
      <c r="N118" s="102">
        <v>0</v>
      </c>
      <c r="P118" s="35"/>
      <c r="Q118" s="35"/>
      <c r="R118" s="35"/>
      <c r="S118" s="35"/>
      <c r="T118" s="35"/>
      <c r="U118" s="35"/>
      <c r="V118" s="35"/>
      <c r="W118" s="35"/>
      <c r="X118" s="35"/>
      <c r="Y118" s="35"/>
      <c r="Z118" s="35"/>
      <c r="AA118" s="35"/>
    </row>
    <row r="119" spans="1:27" x14ac:dyDescent="0.3">
      <c r="A119" s="4" t="str">
        <f t="shared" si="19"/>
        <v>TAX DISTRIBUTION PYMTS</v>
      </c>
      <c r="B119" s="101">
        <f t="shared" si="24"/>
        <v>386218436</v>
      </c>
      <c r="C119" s="102">
        <v>1406940</v>
      </c>
      <c r="D119" s="102">
        <v>0</v>
      </c>
      <c r="E119" s="102">
        <v>612567</v>
      </c>
      <c r="F119" s="102">
        <v>0</v>
      </c>
      <c r="G119" s="102">
        <v>43425000</v>
      </c>
      <c r="H119" s="102">
        <v>72978000</v>
      </c>
      <c r="I119" s="102">
        <v>92095084</v>
      </c>
      <c r="J119" s="102">
        <v>0</v>
      </c>
      <c r="K119" s="102">
        <v>0</v>
      </c>
      <c r="L119" s="102">
        <v>38382000</v>
      </c>
      <c r="M119" s="102">
        <v>137318845</v>
      </c>
      <c r="N119" s="102">
        <v>0</v>
      </c>
      <c r="P119" s="35"/>
      <c r="Q119" s="35"/>
      <c r="R119" s="35"/>
      <c r="S119" s="35"/>
      <c r="T119" s="35"/>
      <c r="U119" s="35"/>
      <c r="V119" s="35"/>
      <c r="W119" s="35"/>
      <c r="X119" s="35"/>
      <c r="Y119" s="35"/>
      <c r="Z119" s="35"/>
      <c r="AA119" s="35"/>
    </row>
    <row r="120" spans="1:27" x14ac:dyDescent="0.3">
      <c r="A120" s="4" t="str">
        <f t="shared" si="19"/>
        <v xml:space="preserve">INVESTMENT PURCHASES </v>
      </c>
      <c r="B120" s="101">
        <f t="shared" si="24"/>
        <v>-112132631.13</v>
      </c>
      <c r="C120" s="102">
        <v>-19961168.48</v>
      </c>
      <c r="D120" s="102">
        <v>-10000000</v>
      </c>
      <c r="E120" s="102">
        <v>-3000000</v>
      </c>
      <c r="F120" s="102">
        <v>-10000000</v>
      </c>
      <c r="G120" s="102">
        <v>-12214739.609999999</v>
      </c>
      <c r="H120" s="102">
        <v>-21916518.07</v>
      </c>
      <c r="I120" s="102">
        <v>-7975675</v>
      </c>
      <c r="J120" s="102">
        <v>-1147610.97</v>
      </c>
      <c r="K120" s="102">
        <v>0</v>
      </c>
      <c r="L120" s="102">
        <v>-18080450.109999999</v>
      </c>
      <c r="M120" s="102"/>
      <c r="N120" s="102">
        <v>-7836468.8899999997</v>
      </c>
      <c r="P120" s="35"/>
      <c r="Q120" s="35"/>
      <c r="R120" s="35"/>
      <c r="S120" s="35"/>
      <c r="T120" s="35"/>
      <c r="U120" s="35"/>
      <c r="V120" s="35"/>
      <c r="W120" s="35"/>
      <c r="X120" s="35"/>
      <c r="Y120" s="35"/>
      <c r="Z120" s="35"/>
      <c r="AA120" s="35"/>
    </row>
    <row r="121" spans="1:27" x14ac:dyDescent="0.3">
      <c r="A121" s="4" t="str">
        <f t="shared" si="19"/>
        <v>OTHER EXPENSES/USES</v>
      </c>
      <c r="B121" s="101">
        <f t="shared" si="24"/>
        <v>0</v>
      </c>
      <c r="C121" s="102"/>
      <c r="D121" s="102"/>
      <c r="E121" s="102"/>
      <c r="F121" s="102"/>
      <c r="G121" s="102"/>
      <c r="H121" s="102"/>
      <c r="I121" s="102"/>
      <c r="J121" s="102"/>
      <c r="K121" s="102"/>
      <c r="L121" s="102"/>
      <c r="M121" s="102"/>
      <c r="N121" s="102"/>
      <c r="P121" s="35"/>
      <c r="Q121" s="35"/>
      <c r="R121" s="35"/>
      <c r="S121" s="35"/>
      <c r="T121" s="35"/>
      <c r="U121" s="35"/>
      <c r="V121" s="35"/>
      <c r="W121" s="35"/>
      <c r="X121" s="35"/>
      <c r="Y121" s="35"/>
      <c r="Z121" s="35"/>
      <c r="AA121" s="35"/>
    </row>
    <row r="122" spans="1:27" x14ac:dyDescent="0.3">
      <c r="A122" s="4" t="str">
        <f t="shared" ref="A122:A137" si="25">A55</f>
        <v>OTHER EXPENSES/USES</v>
      </c>
      <c r="B122" s="101">
        <f t="shared" ref="B122:B137" si="26">SUM(C122:N122)</f>
        <v>0</v>
      </c>
      <c r="C122" s="102"/>
      <c r="D122" s="102"/>
      <c r="E122" s="102"/>
      <c r="F122" s="102"/>
      <c r="G122" s="102"/>
      <c r="H122" s="102"/>
      <c r="I122" s="102"/>
      <c r="J122" s="102"/>
      <c r="K122" s="102"/>
      <c r="L122" s="102"/>
      <c r="M122" s="102"/>
      <c r="N122" s="102"/>
      <c r="P122" s="35"/>
      <c r="Q122" s="35"/>
      <c r="R122" s="35"/>
      <c r="S122" s="35"/>
      <c r="T122" s="35"/>
      <c r="U122" s="35"/>
      <c r="V122" s="35"/>
      <c r="W122" s="35"/>
      <c r="X122" s="35"/>
      <c r="Y122" s="35"/>
      <c r="Z122" s="35"/>
      <c r="AA122" s="35"/>
    </row>
    <row r="123" spans="1:27" x14ac:dyDescent="0.3">
      <c r="A123" s="4" t="str">
        <f t="shared" si="25"/>
        <v>OTHER EXPENSES/USES</v>
      </c>
      <c r="B123" s="101">
        <f t="shared" si="26"/>
        <v>0</v>
      </c>
      <c r="C123" s="102"/>
      <c r="D123" s="102"/>
      <c r="E123" s="102"/>
      <c r="F123" s="102"/>
      <c r="G123" s="102"/>
      <c r="H123" s="102"/>
      <c r="I123" s="102"/>
      <c r="J123" s="102"/>
      <c r="K123" s="102"/>
      <c r="L123" s="102"/>
      <c r="M123" s="102"/>
      <c r="N123" s="102"/>
      <c r="P123" s="35"/>
      <c r="Q123" s="35"/>
      <c r="R123" s="35"/>
      <c r="S123" s="35"/>
      <c r="T123" s="35"/>
      <c r="U123" s="35"/>
      <c r="V123" s="35"/>
      <c r="W123" s="35"/>
      <c r="X123" s="35"/>
      <c r="Y123" s="35"/>
      <c r="Z123" s="35"/>
      <c r="AA123" s="35"/>
    </row>
    <row r="124" spans="1:27" x14ac:dyDescent="0.3">
      <c r="A124" s="4" t="str">
        <f t="shared" si="25"/>
        <v>OTHER EXPENSES/USES</v>
      </c>
      <c r="B124" s="101">
        <f t="shared" si="26"/>
        <v>0</v>
      </c>
      <c r="C124" s="102"/>
      <c r="D124" s="102"/>
      <c r="E124" s="102"/>
      <c r="F124" s="102"/>
      <c r="G124" s="102"/>
      <c r="H124" s="102"/>
      <c r="I124" s="102"/>
      <c r="J124" s="102"/>
      <c r="K124" s="102"/>
      <c r="L124" s="102"/>
      <c r="M124" s="102"/>
      <c r="N124" s="102"/>
      <c r="P124" s="35"/>
      <c r="Q124" s="35"/>
      <c r="R124" s="35"/>
      <c r="S124" s="35"/>
      <c r="T124" s="35"/>
      <c r="U124" s="35"/>
      <c r="V124" s="35"/>
      <c r="W124" s="35"/>
      <c r="X124" s="35"/>
      <c r="Y124" s="35"/>
      <c r="Z124" s="35"/>
      <c r="AA124" s="35"/>
    </row>
    <row r="125" spans="1:27" x14ac:dyDescent="0.3">
      <c r="A125" s="4" t="str">
        <f t="shared" si="25"/>
        <v>OTHER EXPENSES/USES</v>
      </c>
      <c r="B125" s="101">
        <f t="shared" si="26"/>
        <v>0</v>
      </c>
      <c r="C125" s="102"/>
      <c r="D125" s="102"/>
      <c r="E125" s="102"/>
      <c r="F125" s="102"/>
      <c r="G125" s="102"/>
      <c r="H125" s="102"/>
      <c r="I125" s="102"/>
      <c r="J125" s="102"/>
      <c r="K125" s="102"/>
      <c r="L125" s="102"/>
      <c r="M125" s="102"/>
      <c r="N125" s="102"/>
      <c r="P125" s="35"/>
      <c r="Q125" s="35"/>
      <c r="R125" s="35"/>
      <c r="S125" s="35"/>
      <c r="T125" s="35"/>
      <c r="U125" s="35"/>
      <c r="V125" s="35"/>
      <c r="W125" s="35"/>
      <c r="X125" s="35"/>
      <c r="Y125" s="35"/>
      <c r="Z125" s="35"/>
      <c r="AA125" s="35"/>
    </row>
    <row r="126" spans="1:27" x14ac:dyDescent="0.3">
      <c r="A126" s="4" t="str">
        <f t="shared" si="25"/>
        <v>OTHER EXPENSES/USES</v>
      </c>
      <c r="B126" s="101">
        <f t="shared" si="26"/>
        <v>0</v>
      </c>
      <c r="C126" s="102"/>
      <c r="D126" s="102"/>
      <c r="E126" s="102"/>
      <c r="F126" s="102"/>
      <c r="G126" s="102"/>
      <c r="H126" s="102"/>
      <c r="I126" s="102"/>
      <c r="J126" s="102"/>
      <c r="K126" s="102"/>
      <c r="L126" s="102"/>
      <c r="M126" s="102"/>
      <c r="N126" s="102"/>
      <c r="P126" s="35"/>
      <c r="Q126" s="35"/>
      <c r="R126" s="35"/>
      <c r="S126" s="35"/>
      <c r="T126" s="35"/>
      <c r="U126" s="35"/>
      <c r="V126" s="35"/>
      <c r="W126" s="35"/>
      <c r="X126" s="35"/>
      <c r="Y126" s="35"/>
      <c r="Z126" s="35"/>
      <c r="AA126" s="35"/>
    </row>
    <row r="127" spans="1:27" x14ac:dyDescent="0.3">
      <c r="A127" s="4" t="str">
        <f t="shared" si="25"/>
        <v>OTHER EXPENSES/USES</v>
      </c>
      <c r="B127" s="101">
        <f t="shared" si="26"/>
        <v>0</v>
      </c>
      <c r="C127" s="102"/>
      <c r="D127" s="102"/>
      <c r="E127" s="102"/>
      <c r="F127" s="102"/>
      <c r="G127" s="102"/>
      <c r="H127" s="102"/>
      <c r="I127" s="102"/>
      <c r="J127" s="102"/>
      <c r="K127" s="102"/>
      <c r="L127" s="102"/>
      <c r="M127" s="102"/>
      <c r="N127" s="102"/>
      <c r="P127" s="35"/>
      <c r="Q127" s="35"/>
      <c r="R127" s="35"/>
      <c r="S127" s="35"/>
      <c r="T127" s="35"/>
      <c r="U127" s="35"/>
      <c r="V127" s="35"/>
      <c r="W127" s="35"/>
      <c r="X127" s="35"/>
      <c r="Y127" s="35"/>
      <c r="Z127" s="35"/>
      <c r="AA127" s="35"/>
    </row>
    <row r="128" spans="1:27" x14ac:dyDescent="0.3">
      <c r="A128" s="4" t="str">
        <f t="shared" si="25"/>
        <v>OTHER EXPENSES/USES</v>
      </c>
      <c r="B128" s="101">
        <f t="shared" si="26"/>
        <v>0</v>
      </c>
      <c r="C128" s="102"/>
      <c r="D128" s="102"/>
      <c r="E128" s="102"/>
      <c r="F128" s="102"/>
      <c r="G128" s="102"/>
      <c r="H128" s="102"/>
      <c r="I128" s="102"/>
      <c r="J128" s="102"/>
      <c r="K128" s="102"/>
      <c r="L128" s="102"/>
      <c r="M128" s="102"/>
      <c r="N128" s="102"/>
      <c r="P128" s="35"/>
      <c r="Q128" s="35"/>
      <c r="R128" s="35"/>
      <c r="S128" s="35"/>
      <c r="T128" s="35"/>
      <c r="U128" s="35"/>
      <c r="V128" s="35"/>
      <c r="W128" s="35"/>
      <c r="X128" s="35"/>
      <c r="Y128" s="35"/>
      <c r="Z128" s="35"/>
      <c r="AA128" s="35"/>
    </row>
    <row r="129" spans="1:27" x14ac:dyDescent="0.3">
      <c r="A129" s="4" t="str">
        <f t="shared" si="25"/>
        <v>OTHER EXPENSES/USES</v>
      </c>
      <c r="B129" s="101">
        <f t="shared" si="26"/>
        <v>0</v>
      </c>
      <c r="C129" s="102"/>
      <c r="D129" s="102"/>
      <c r="E129" s="102"/>
      <c r="F129" s="102"/>
      <c r="G129" s="102"/>
      <c r="H129" s="102"/>
      <c r="I129" s="102"/>
      <c r="J129" s="102"/>
      <c r="K129" s="102"/>
      <c r="L129" s="102"/>
      <c r="M129" s="102"/>
      <c r="N129" s="102"/>
      <c r="P129" s="35"/>
      <c r="Q129" s="35"/>
      <c r="R129" s="35"/>
      <c r="S129" s="35"/>
      <c r="T129" s="35"/>
      <c r="U129" s="35"/>
      <c r="V129" s="35"/>
      <c r="W129" s="35"/>
      <c r="X129" s="35"/>
      <c r="Y129" s="35"/>
      <c r="Z129" s="35"/>
      <c r="AA129" s="35"/>
    </row>
    <row r="130" spans="1:27" x14ac:dyDescent="0.3">
      <c r="A130" s="4" t="str">
        <f t="shared" si="25"/>
        <v>OTHER EXPENSES/USES</v>
      </c>
      <c r="B130" s="101">
        <f t="shared" si="26"/>
        <v>0</v>
      </c>
      <c r="C130" s="102"/>
      <c r="D130" s="102"/>
      <c r="E130" s="102"/>
      <c r="F130" s="102"/>
      <c r="G130" s="102"/>
      <c r="H130" s="102"/>
      <c r="I130" s="102"/>
      <c r="J130" s="102"/>
      <c r="K130" s="102"/>
      <c r="L130" s="102"/>
      <c r="M130" s="102"/>
      <c r="N130" s="102"/>
      <c r="P130" s="35"/>
      <c r="Q130" s="35"/>
      <c r="R130" s="35"/>
      <c r="S130" s="35"/>
      <c r="T130" s="35"/>
      <c r="U130" s="35"/>
      <c r="V130" s="35"/>
      <c r="W130" s="35"/>
      <c r="X130" s="35"/>
      <c r="Y130" s="35"/>
      <c r="Z130" s="35"/>
      <c r="AA130" s="35"/>
    </row>
    <row r="131" spans="1:27" x14ac:dyDescent="0.3">
      <c r="A131" s="4" t="str">
        <f t="shared" si="25"/>
        <v>OTHER EXPENSES/USES</v>
      </c>
      <c r="B131" s="101">
        <f t="shared" si="26"/>
        <v>0</v>
      </c>
      <c r="C131" s="102"/>
      <c r="D131" s="102"/>
      <c r="E131" s="102"/>
      <c r="F131" s="102"/>
      <c r="G131" s="102"/>
      <c r="H131" s="102"/>
      <c r="I131" s="102"/>
      <c r="J131" s="102"/>
      <c r="K131" s="102"/>
      <c r="L131" s="102"/>
      <c r="M131" s="102"/>
      <c r="N131" s="102"/>
      <c r="P131" s="35"/>
      <c r="Q131" s="35"/>
      <c r="R131" s="35"/>
      <c r="S131" s="35"/>
      <c r="T131" s="35"/>
      <c r="U131" s="35"/>
      <c r="V131" s="35"/>
      <c r="W131" s="35"/>
      <c r="X131" s="35"/>
      <c r="Y131" s="35"/>
      <c r="Z131" s="35"/>
      <c r="AA131" s="35"/>
    </row>
    <row r="132" spans="1:27" x14ac:dyDescent="0.3">
      <c r="A132" s="4" t="str">
        <f t="shared" si="25"/>
        <v>OTHER EXPENSES/USES</v>
      </c>
      <c r="B132" s="101">
        <f t="shared" si="26"/>
        <v>0</v>
      </c>
      <c r="C132" s="102"/>
      <c r="D132" s="102"/>
      <c r="E132" s="102"/>
      <c r="F132" s="102"/>
      <c r="G132" s="102"/>
      <c r="H132" s="102"/>
      <c r="I132" s="102"/>
      <c r="J132" s="102"/>
      <c r="K132" s="102"/>
      <c r="L132" s="102"/>
      <c r="M132" s="102"/>
      <c r="N132" s="102"/>
      <c r="P132" s="35"/>
      <c r="Q132" s="35"/>
      <c r="R132" s="35"/>
      <c r="S132" s="35"/>
      <c r="T132" s="35"/>
      <c r="U132" s="35"/>
      <c r="V132" s="35"/>
      <c r="W132" s="35"/>
      <c r="X132" s="35"/>
      <c r="Y132" s="35"/>
      <c r="Z132" s="35"/>
      <c r="AA132" s="35"/>
    </row>
    <row r="133" spans="1:27" x14ac:dyDescent="0.3">
      <c r="A133" s="4" t="str">
        <f t="shared" si="25"/>
        <v>OTHER EXPENSES/USES</v>
      </c>
      <c r="B133" s="101">
        <f t="shared" si="26"/>
        <v>0</v>
      </c>
      <c r="C133" s="102"/>
      <c r="D133" s="102"/>
      <c r="E133" s="102"/>
      <c r="F133" s="102"/>
      <c r="G133" s="102"/>
      <c r="H133" s="102"/>
      <c r="I133" s="102"/>
      <c r="J133" s="102"/>
      <c r="K133" s="102"/>
      <c r="L133" s="102"/>
      <c r="M133" s="102"/>
      <c r="N133" s="102"/>
      <c r="P133" s="35"/>
      <c r="Q133" s="35"/>
      <c r="R133" s="35"/>
      <c r="S133" s="35"/>
      <c r="T133" s="35"/>
      <c r="U133" s="35"/>
      <c r="V133" s="35"/>
      <c r="W133" s="35"/>
      <c r="X133" s="35"/>
      <c r="Y133" s="35"/>
      <c r="Z133" s="35"/>
      <c r="AA133" s="35"/>
    </row>
    <row r="134" spans="1:27" x14ac:dyDescent="0.3">
      <c r="A134" s="4" t="str">
        <f t="shared" si="25"/>
        <v>OTHER EXPENSES/USES</v>
      </c>
      <c r="B134" s="101">
        <f t="shared" si="26"/>
        <v>0</v>
      </c>
      <c r="C134" s="102"/>
      <c r="D134" s="102"/>
      <c r="E134" s="102"/>
      <c r="F134" s="102"/>
      <c r="G134" s="102"/>
      <c r="H134" s="102"/>
      <c r="I134" s="102"/>
      <c r="J134" s="102"/>
      <c r="K134" s="102"/>
      <c r="L134" s="102"/>
      <c r="M134" s="102"/>
      <c r="N134" s="102"/>
      <c r="P134" s="35"/>
      <c r="Q134" s="35"/>
      <c r="R134" s="35"/>
      <c r="S134" s="35"/>
      <c r="T134" s="35"/>
      <c r="U134" s="35"/>
      <c r="V134" s="35"/>
      <c r="W134" s="35"/>
      <c r="X134" s="35"/>
      <c r="Y134" s="35"/>
      <c r="Z134" s="35"/>
      <c r="AA134" s="35"/>
    </row>
    <row r="135" spans="1:27" x14ac:dyDescent="0.3">
      <c r="A135" s="4" t="str">
        <f t="shared" si="25"/>
        <v>OTHER EXPENSES/USES</v>
      </c>
      <c r="B135" s="101">
        <f t="shared" si="26"/>
        <v>0</v>
      </c>
      <c r="C135" s="102"/>
      <c r="D135" s="102"/>
      <c r="E135" s="102"/>
      <c r="F135" s="102"/>
      <c r="G135" s="102"/>
      <c r="H135" s="102"/>
      <c r="I135" s="102"/>
      <c r="J135" s="102"/>
      <c r="K135" s="102"/>
      <c r="L135" s="102"/>
      <c r="M135" s="102"/>
      <c r="N135" s="102"/>
      <c r="P135" s="35"/>
      <c r="Q135" s="35"/>
      <c r="R135" s="35"/>
      <c r="S135" s="35"/>
      <c r="T135" s="35"/>
      <c r="U135" s="35"/>
      <c r="V135" s="35"/>
      <c r="W135" s="35"/>
      <c r="X135" s="35"/>
      <c r="Y135" s="35"/>
      <c r="Z135" s="35"/>
      <c r="AA135" s="35"/>
    </row>
    <row r="136" spans="1:27" x14ac:dyDescent="0.3">
      <c r="A136" s="4" t="str">
        <f t="shared" si="25"/>
        <v>OTHER EXPENSES/USES</v>
      </c>
      <c r="B136" s="101">
        <f t="shared" si="26"/>
        <v>0</v>
      </c>
      <c r="C136" s="102"/>
      <c r="D136" s="102"/>
      <c r="E136" s="102"/>
      <c r="F136" s="102"/>
      <c r="G136" s="102"/>
      <c r="H136" s="102"/>
      <c r="I136" s="102"/>
      <c r="J136" s="102"/>
      <c r="K136" s="102"/>
      <c r="L136" s="102"/>
      <c r="M136" s="102"/>
      <c r="N136" s="102"/>
      <c r="P136" s="35"/>
      <c r="Q136" s="35"/>
      <c r="R136" s="35"/>
      <c r="S136" s="35"/>
      <c r="T136" s="35"/>
      <c r="U136" s="35"/>
      <c r="V136" s="35"/>
      <c r="W136" s="35"/>
      <c r="X136" s="35"/>
      <c r="Y136" s="35"/>
      <c r="Z136" s="35"/>
      <c r="AA136" s="35"/>
    </row>
    <row r="137" spans="1:27" x14ac:dyDescent="0.3">
      <c r="A137" s="4" t="str">
        <f t="shared" si="25"/>
        <v>OTHER EXPENSES/USES</v>
      </c>
      <c r="B137" s="101">
        <f t="shared" si="26"/>
        <v>0</v>
      </c>
      <c r="C137" s="102"/>
      <c r="D137" s="102"/>
      <c r="E137" s="102"/>
      <c r="F137" s="102"/>
      <c r="G137" s="102"/>
      <c r="H137" s="102"/>
      <c r="I137" s="102"/>
      <c r="J137" s="102"/>
      <c r="K137" s="102"/>
      <c r="L137" s="102"/>
      <c r="M137" s="102"/>
      <c r="N137" s="102"/>
      <c r="P137" s="35"/>
      <c r="Q137" s="35"/>
      <c r="R137" s="35"/>
      <c r="S137" s="35"/>
      <c r="T137" s="35"/>
      <c r="U137" s="35"/>
      <c r="V137" s="35"/>
      <c r="W137" s="35"/>
      <c r="X137" s="35"/>
      <c r="Y137" s="35"/>
      <c r="Z137" s="35"/>
      <c r="AA137" s="35"/>
    </row>
    <row r="138" spans="1:27" x14ac:dyDescent="0.3">
      <c r="A138" s="40" t="s">
        <v>9</v>
      </c>
      <c r="B138" s="103">
        <f>SUM(B108:B137)</f>
        <v>721291596.87</v>
      </c>
      <c r="C138" s="103">
        <f t="shared" ref="C138" si="27">SUM(C108:C137)</f>
        <v>15203488.52</v>
      </c>
      <c r="D138" s="103">
        <f t="shared" ref="D138" si="28">SUM(D108:D137)</f>
        <v>30900308</v>
      </c>
      <c r="E138" s="103">
        <f t="shared" ref="E138" si="29">SUM(E108:E137)</f>
        <v>25288022</v>
      </c>
      <c r="F138" s="103">
        <f t="shared" ref="F138" si="30">SUM(F108:F137)</f>
        <v>19517911</v>
      </c>
      <c r="G138" s="103">
        <f t="shared" ref="G138" si="31">SUM(G108:G137)</f>
        <v>59406894.390000001</v>
      </c>
      <c r="H138" s="103">
        <f t="shared" ref="H138" si="32">SUM(H108:H137)</f>
        <v>118119592.93000001</v>
      </c>
      <c r="I138" s="103">
        <f t="shared" ref="I138" si="33">SUM(I108:I137)</f>
        <v>116732965</v>
      </c>
      <c r="J138" s="103">
        <f t="shared" ref="J138" si="34">SUM(J108:J137)</f>
        <v>33996492.030000001</v>
      </c>
      <c r="K138" s="103">
        <f t="shared" ref="K138" si="35">SUM(K108:K137)</f>
        <v>28700729</v>
      </c>
      <c r="L138" s="103">
        <f t="shared" ref="L138" si="36">SUM(L108:L137)</f>
        <v>49963716.890000001</v>
      </c>
      <c r="M138" s="103">
        <f t="shared" ref="M138" si="37">SUM(M108:M137)</f>
        <v>207019209</v>
      </c>
      <c r="N138" s="103">
        <f t="shared" ref="N138" si="38">SUM(N108:N137)</f>
        <v>16442268.109999999</v>
      </c>
    </row>
    <row r="139" spans="1:27" ht="15" thickBot="1" x14ac:dyDescent="0.35">
      <c r="A139" s="41" t="s">
        <v>10</v>
      </c>
      <c r="B139" s="106">
        <f t="shared" ref="B139:N139" si="39">B106-B138</f>
        <v>221789079.13</v>
      </c>
      <c r="C139" s="106">
        <f t="shared" si="39"/>
        <v>32294147.48</v>
      </c>
      <c r="D139" s="106">
        <f t="shared" si="39"/>
        <v>-4012549</v>
      </c>
      <c r="E139" s="106">
        <f t="shared" si="39"/>
        <v>3563384</v>
      </c>
      <c r="F139" s="106">
        <f t="shared" si="39"/>
        <v>114578936</v>
      </c>
      <c r="G139" s="106">
        <f t="shared" si="39"/>
        <v>104761675.61</v>
      </c>
      <c r="H139" s="106">
        <f t="shared" si="39"/>
        <v>-24191098.930000007</v>
      </c>
      <c r="I139" s="106">
        <f t="shared" si="39"/>
        <v>-75000382</v>
      </c>
      <c r="J139" s="106">
        <f t="shared" si="39"/>
        <v>1779481.9699999988</v>
      </c>
      <c r="K139" s="106">
        <f t="shared" si="39"/>
        <v>30022510</v>
      </c>
      <c r="L139" s="106">
        <f t="shared" si="39"/>
        <v>147325470.11000001</v>
      </c>
      <c r="M139" s="106">
        <f t="shared" si="39"/>
        <v>-119423585</v>
      </c>
      <c r="N139" s="106">
        <f t="shared" si="39"/>
        <v>10091088.890000001</v>
      </c>
    </row>
    <row r="140" spans="1:27" x14ac:dyDescent="0.3">
      <c r="A140" s="37" t="s">
        <v>168</v>
      </c>
      <c r="B140" s="37"/>
      <c r="C140" s="42"/>
      <c r="D140" s="42"/>
      <c r="E140" s="42"/>
      <c r="F140" s="42"/>
      <c r="G140" s="42"/>
      <c r="H140" s="42"/>
      <c r="I140" s="42"/>
      <c r="J140" s="42"/>
      <c r="K140" s="42"/>
      <c r="L140" s="42"/>
      <c r="M140" s="42"/>
      <c r="N140" s="42"/>
    </row>
    <row r="141" spans="1:27" ht="15" thickBot="1" x14ac:dyDescent="0.35">
      <c r="A141" s="121"/>
      <c r="B141" s="39" t="str">
        <f>CONCATENATE("TOTAL-",RIGHT(B2,4))</f>
        <v>TOTAL-2021</v>
      </c>
      <c r="C141" s="39" t="str">
        <f>VLOOKUP($B$2,'5-FY Table'!$B$2:$N$37,2,FALSE)</f>
        <v>JUL-2020</v>
      </c>
      <c r="D141" s="39" t="str">
        <f>VLOOKUP($B$2,'5-FY Table'!$B$2:$N$37,3,FALSE)</f>
        <v>AUG-2020</v>
      </c>
      <c r="E141" s="39" t="str">
        <f>VLOOKUP($B$2,'5-FY Table'!$B$2:$N$37,4,FALSE)</f>
        <v>SEP-2020</v>
      </c>
      <c r="F141" s="39" t="str">
        <f>VLOOKUP($B$2,'5-FY Table'!$B$2:$N$37,5,FALSE)</f>
        <v>OCT-2020</v>
      </c>
      <c r="G141" s="39" t="str">
        <f>VLOOKUP($B$2,'5-FY Table'!$B$2:$N$37,6,FALSE)</f>
        <v>NOV-2020</v>
      </c>
      <c r="H141" s="39" t="str">
        <f>VLOOKUP($B$2,'5-FY Table'!$B$2:$N$37,7,FALSE)</f>
        <v>DEC-2020</v>
      </c>
      <c r="I141" s="39" t="str">
        <f>VLOOKUP($B$2,'5-FY Table'!$B$2:$N$37,8,FALSE)</f>
        <v>JAN-2021</v>
      </c>
      <c r="J141" s="39" t="str">
        <f>VLOOKUP($B$2,'5-FY Table'!$B$2:$N$37,9,FALSE)</f>
        <v>FEB-2021</v>
      </c>
      <c r="K141" s="39" t="str">
        <f>VLOOKUP($B$2,'5-FY Table'!$B$2:$N$37,10,FALSE)</f>
        <v>MAR-2021</v>
      </c>
      <c r="L141" s="39" t="str">
        <f>VLOOKUP($B$2,'5-FY Table'!$B$2:$N$37,11,FALSE)</f>
        <v>APR-2021</v>
      </c>
      <c r="M141" s="39" t="str">
        <f>VLOOKUP($B$2,'5-FY Table'!$B$2:$N$37,12,FALSE)</f>
        <v>MAY-2021</v>
      </c>
      <c r="N141" s="39" t="str">
        <f>VLOOKUP($B$2,'5-FY Table'!$B$2:$N$37,13,FALSE)</f>
        <v>JUN-2021</v>
      </c>
    </row>
    <row r="142" spans="1:27" ht="15" thickBot="1" x14ac:dyDescent="0.35">
      <c r="A142" s="42"/>
      <c r="B142" s="79" t="s">
        <v>159</v>
      </c>
      <c r="C142" s="122">
        <v>2</v>
      </c>
      <c r="D142" s="122">
        <v>2</v>
      </c>
      <c r="E142" s="122">
        <v>2</v>
      </c>
      <c r="F142" s="122">
        <v>2</v>
      </c>
      <c r="G142" s="122">
        <v>3</v>
      </c>
      <c r="H142" s="122">
        <v>2</v>
      </c>
      <c r="I142" s="122">
        <v>2</v>
      </c>
      <c r="J142" s="122">
        <v>2</v>
      </c>
      <c r="K142" s="122">
        <v>2</v>
      </c>
      <c r="L142" s="122">
        <v>3</v>
      </c>
      <c r="M142" s="122">
        <v>2</v>
      </c>
      <c r="N142" s="122">
        <v>2</v>
      </c>
      <c r="O142" s="124">
        <f>SUM(C142:N142)</f>
        <v>26</v>
      </c>
      <c r="P142" s="37" t="s">
        <v>142</v>
      </c>
      <c r="Q142" s="42"/>
      <c r="R142" s="42"/>
    </row>
    <row r="143" spans="1:27" x14ac:dyDescent="0.3">
      <c r="A143" s="42"/>
      <c r="B143" s="79" t="s">
        <v>141</v>
      </c>
      <c r="C143" s="125">
        <f>(C142/SUM($C$142:$N$142))</f>
        <v>7.6923076923076927E-2</v>
      </c>
      <c r="D143" s="125">
        <f t="shared" ref="D143:N143" si="40">(D142/SUM($C$142:$N$142))</f>
        <v>7.6923076923076927E-2</v>
      </c>
      <c r="E143" s="125">
        <f t="shared" si="40"/>
        <v>7.6923076923076927E-2</v>
      </c>
      <c r="F143" s="125">
        <f t="shared" si="40"/>
        <v>7.6923076923076927E-2</v>
      </c>
      <c r="G143" s="125">
        <f t="shared" si="40"/>
        <v>0.11538461538461539</v>
      </c>
      <c r="H143" s="125">
        <f t="shared" si="40"/>
        <v>7.6923076923076927E-2</v>
      </c>
      <c r="I143" s="125">
        <f t="shared" si="40"/>
        <v>7.6923076923076927E-2</v>
      </c>
      <c r="J143" s="125">
        <f t="shared" si="40"/>
        <v>7.6923076923076927E-2</v>
      </c>
      <c r="K143" s="125">
        <f t="shared" si="40"/>
        <v>7.6923076923076927E-2</v>
      </c>
      <c r="L143" s="125">
        <f t="shared" si="40"/>
        <v>0.11538461538461539</v>
      </c>
      <c r="M143" s="125">
        <f t="shared" si="40"/>
        <v>7.6923076923076927E-2</v>
      </c>
      <c r="N143" s="125">
        <f t="shared" si="40"/>
        <v>7.6923076923076927E-2</v>
      </c>
      <c r="O143" s="126">
        <f>SUM(C143:N143)</f>
        <v>0.99999999999999978</v>
      </c>
      <c r="P143" s="37" t="s">
        <v>143</v>
      </c>
      <c r="Q143" s="42"/>
      <c r="R143" s="42"/>
    </row>
    <row r="144" spans="1:27" x14ac:dyDescent="0.3">
      <c r="A144" s="10" t="s">
        <v>6</v>
      </c>
      <c r="B144" s="10"/>
    </row>
    <row r="145" spans="1:16" x14ac:dyDescent="0.3">
      <c r="A145" s="4" t="str">
        <f t="shared" ref="A145:A174" si="41">A9</f>
        <v>PROPERTY TAX</v>
      </c>
      <c r="B145" s="102">
        <v>553918994</v>
      </c>
      <c r="C145" s="107">
        <f t="shared" ref="C145:N145" si="42">IFERROR((+C9+C76)/(+$B9+$B76)*$B145,0)</f>
        <v>3736996.5840561036</v>
      </c>
      <c r="D145" s="107">
        <f t="shared" si="42"/>
        <v>1967494.0796100977</v>
      </c>
      <c r="E145" s="107">
        <f t="shared" si="42"/>
        <v>8716273.4906834941</v>
      </c>
      <c r="F145" s="107">
        <f t="shared" si="42"/>
        <v>121025500.12074737</v>
      </c>
      <c r="G145" s="107">
        <f t="shared" si="42"/>
        <v>152310223.47702205</v>
      </c>
      <c r="H145" s="107">
        <f t="shared" si="42"/>
        <v>5758162.1952686682</v>
      </c>
      <c r="I145" s="107">
        <f t="shared" si="42"/>
        <v>4226393.3894069279</v>
      </c>
      <c r="J145" s="107">
        <f t="shared" si="42"/>
        <v>5523189.450137184</v>
      </c>
      <c r="K145" s="107">
        <f t="shared" si="42"/>
        <v>46558764.574297406</v>
      </c>
      <c r="L145" s="107">
        <f t="shared" si="42"/>
        <v>193518335.67282352</v>
      </c>
      <c r="M145" s="107">
        <f t="shared" si="42"/>
        <v>6043653.7899491796</v>
      </c>
      <c r="N145" s="107">
        <f t="shared" si="42"/>
        <v>4534007.1759979762</v>
      </c>
      <c r="P145" s="8"/>
    </row>
    <row r="146" spans="1:16" x14ac:dyDescent="0.3">
      <c r="A146" s="4" t="str">
        <f t="shared" si="41"/>
        <v>SALES &amp; USE TAX</v>
      </c>
      <c r="B146" s="102"/>
      <c r="C146" s="107">
        <f t="shared" ref="C146:N146" si="43">IFERROR((+C10+C77)/(+$B10+$B77)*$B146,0)</f>
        <v>0</v>
      </c>
      <c r="D146" s="107">
        <f t="shared" si="43"/>
        <v>0</v>
      </c>
      <c r="E146" s="107">
        <f t="shared" si="43"/>
        <v>0</v>
      </c>
      <c r="F146" s="107">
        <f t="shared" si="43"/>
        <v>0</v>
      </c>
      <c r="G146" s="107">
        <f t="shared" si="43"/>
        <v>0</v>
      </c>
      <c r="H146" s="107">
        <f t="shared" si="43"/>
        <v>0</v>
      </c>
      <c r="I146" s="107">
        <f t="shared" si="43"/>
        <v>0</v>
      </c>
      <c r="J146" s="107">
        <f t="shared" si="43"/>
        <v>0</v>
      </c>
      <c r="K146" s="107">
        <f t="shared" si="43"/>
        <v>0</v>
      </c>
      <c r="L146" s="107">
        <f t="shared" si="43"/>
        <v>0</v>
      </c>
      <c r="M146" s="107">
        <f t="shared" si="43"/>
        <v>0</v>
      </c>
      <c r="N146" s="107">
        <f t="shared" si="43"/>
        <v>0</v>
      </c>
    </row>
    <row r="147" spans="1:16" x14ac:dyDescent="0.3">
      <c r="A147" s="4" t="str">
        <f t="shared" si="41"/>
        <v>FEES &amp; PERMITS</v>
      </c>
      <c r="B147" s="102">
        <v>0</v>
      </c>
      <c r="C147" s="107">
        <f t="shared" ref="C147:N147" si="44">IFERROR((+C11+C78)/(+$B11+$B78)*$B147,0)</f>
        <v>0</v>
      </c>
      <c r="D147" s="107">
        <f t="shared" si="44"/>
        <v>0</v>
      </c>
      <c r="E147" s="107">
        <f t="shared" si="44"/>
        <v>0</v>
      </c>
      <c r="F147" s="107">
        <f t="shared" si="44"/>
        <v>0</v>
      </c>
      <c r="G147" s="107">
        <f t="shared" si="44"/>
        <v>0</v>
      </c>
      <c r="H147" s="107">
        <f t="shared" si="44"/>
        <v>0</v>
      </c>
      <c r="I147" s="107">
        <f t="shared" si="44"/>
        <v>0</v>
      </c>
      <c r="J147" s="107">
        <f t="shared" si="44"/>
        <v>0</v>
      </c>
      <c r="K147" s="107">
        <f t="shared" si="44"/>
        <v>0</v>
      </c>
      <c r="L147" s="107">
        <f t="shared" si="44"/>
        <v>0</v>
      </c>
      <c r="M147" s="107">
        <f t="shared" si="44"/>
        <v>0</v>
      </c>
      <c r="N147" s="107">
        <f t="shared" si="44"/>
        <v>0</v>
      </c>
    </row>
    <row r="148" spans="1:16" x14ac:dyDescent="0.3">
      <c r="A148" s="4" t="str">
        <f t="shared" si="41"/>
        <v>FISCAL DISPARITIES</v>
      </c>
      <c r="B148" s="102">
        <v>102628560</v>
      </c>
      <c r="C148" s="107">
        <f t="shared" ref="C148:N148" si="45">IFERROR((+C12+C79)/(+$B12+$B79)*$B148,0)</f>
        <v>0</v>
      </c>
      <c r="D148" s="107">
        <f t="shared" si="45"/>
        <v>0</v>
      </c>
      <c r="E148" s="107">
        <f t="shared" si="45"/>
        <v>0</v>
      </c>
      <c r="F148" s="107">
        <f t="shared" si="45"/>
        <v>0</v>
      </c>
      <c r="G148" s="107">
        <f t="shared" si="45"/>
        <v>0</v>
      </c>
      <c r="H148" s="107">
        <f t="shared" si="45"/>
        <v>50085130.10097789</v>
      </c>
      <c r="I148" s="107">
        <f t="shared" si="45"/>
        <v>1229152.5120708353</v>
      </c>
      <c r="J148" s="107">
        <f t="shared" si="45"/>
        <v>0</v>
      </c>
      <c r="K148" s="107">
        <f t="shared" si="45"/>
        <v>0</v>
      </c>
      <c r="L148" s="107">
        <f t="shared" si="45"/>
        <v>0</v>
      </c>
      <c r="M148" s="107">
        <f t="shared" si="45"/>
        <v>51314277.386951275</v>
      </c>
      <c r="N148" s="107">
        <f t="shared" si="45"/>
        <v>0</v>
      </c>
    </row>
    <row r="149" spans="1:16" x14ac:dyDescent="0.3">
      <c r="A149" s="4" t="str">
        <f t="shared" si="41"/>
        <v>BUSINESS LICENSE TAXES</v>
      </c>
      <c r="B149" s="102">
        <v>0</v>
      </c>
      <c r="C149" s="107">
        <f t="shared" ref="C149:N149" si="46">IFERROR((+C13+C80)/(+$B13+$B80)*$B149,0)</f>
        <v>0</v>
      </c>
      <c r="D149" s="107">
        <f t="shared" si="46"/>
        <v>0</v>
      </c>
      <c r="E149" s="107">
        <f t="shared" si="46"/>
        <v>0</v>
      </c>
      <c r="F149" s="107">
        <f t="shared" si="46"/>
        <v>0</v>
      </c>
      <c r="G149" s="107">
        <f t="shared" si="46"/>
        <v>0</v>
      </c>
      <c r="H149" s="107">
        <f t="shared" si="46"/>
        <v>0</v>
      </c>
      <c r="I149" s="107">
        <f t="shared" si="46"/>
        <v>0</v>
      </c>
      <c r="J149" s="107">
        <f t="shared" si="46"/>
        <v>0</v>
      </c>
      <c r="K149" s="107">
        <f t="shared" si="46"/>
        <v>0</v>
      </c>
      <c r="L149" s="107">
        <f t="shared" si="46"/>
        <v>0</v>
      </c>
      <c r="M149" s="107">
        <f t="shared" si="46"/>
        <v>0</v>
      </c>
      <c r="N149" s="107">
        <f t="shared" si="46"/>
        <v>0</v>
      </c>
    </row>
    <row r="150" spans="1:16" x14ac:dyDescent="0.3">
      <c r="A150" s="4" t="str">
        <f t="shared" si="41"/>
        <v>INTRAGOVT SVC CHARGES</v>
      </c>
      <c r="B150" s="102"/>
      <c r="C150" s="107">
        <f t="shared" ref="C150:N150" si="47">IFERROR((+C14+C81)/(+$B14+$B81)*$B150,0)</f>
        <v>0</v>
      </c>
      <c r="D150" s="107">
        <f t="shared" si="47"/>
        <v>0</v>
      </c>
      <c r="E150" s="107">
        <f t="shared" si="47"/>
        <v>0</v>
      </c>
      <c r="F150" s="107">
        <f t="shared" si="47"/>
        <v>0</v>
      </c>
      <c r="G150" s="107">
        <f t="shared" si="47"/>
        <v>0</v>
      </c>
      <c r="H150" s="107">
        <f t="shared" si="47"/>
        <v>0</v>
      </c>
      <c r="I150" s="107">
        <f t="shared" si="47"/>
        <v>0</v>
      </c>
      <c r="J150" s="107">
        <f t="shared" si="47"/>
        <v>0</v>
      </c>
      <c r="K150" s="107">
        <f t="shared" si="47"/>
        <v>0</v>
      </c>
      <c r="L150" s="107">
        <f t="shared" si="47"/>
        <v>0</v>
      </c>
      <c r="M150" s="107">
        <f t="shared" si="47"/>
        <v>0</v>
      </c>
      <c r="N150" s="107">
        <f t="shared" si="47"/>
        <v>0</v>
      </c>
    </row>
    <row r="151" spans="1:16" x14ac:dyDescent="0.3">
      <c r="A151" s="4" t="str">
        <f t="shared" si="41"/>
        <v>INTERGOVT REVENUES</v>
      </c>
      <c r="B151" s="102">
        <v>246121980</v>
      </c>
      <c r="C151" s="107">
        <f t="shared" ref="C151:N151" si="48">IFERROR((+C15+C82)/(+$B15+$B82)*$B151,0)</f>
        <v>16042099.002231546</v>
      </c>
      <c r="D151" s="107">
        <f t="shared" si="48"/>
        <v>26282071.890759166</v>
      </c>
      <c r="E151" s="107">
        <f t="shared" si="48"/>
        <v>18638063.716893692</v>
      </c>
      <c r="F151" s="107">
        <f t="shared" si="48"/>
        <v>14873395.464685407</v>
      </c>
      <c r="G151" s="107">
        <f t="shared" si="48"/>
        <v>23405363.124759287</v>
      </c>
      <c r="H151" s="107">
        <f t="shared" si="48"/>
        <v>20515969.464479052</v>
      </c>
      <c r="I151" s="107">
        <f t="shared" si="48"/>
        <v>30403774.195256256</v>
      </c>
      <c r="J151" s="107">
        <f t="shared" si="48"/>
        <v>22787889.858159047</v>
      </c>
      <c r="K151" s="107">
        <f t="shared" si="48"/>
        <v>14585039.146321388</v>
      </c>
      <c r="L151" s="107">
        <f t="shared" si="48"/>
        <v>15558530.199929828</v>
      </c>
      <c r="M151" s="107">
        <f t="shared" si="48"/>
        <v>21148308.553167261</v>
      </c>
      <c r="N151" s="107">
        <f t="shared" si="48"/>
        <v>21881475.383358072</v>
      </c>
    </row>
    <row r="152" spans="1:16" x14ac:dyDescent="0.3">
      <c r="A152" s="4" t="str">
        <f t="shared" si="41"/>
        <v>REIMBURSEMENTS</v>
      </c>
      <c r="B152" s="102">
        <v>0</v>
      </c>
      <c r="C152" s="107">
        <f t="shared" ref="C152:N152" si="49">IFERROR((+C16+C83)/(+$B16+$B83)*$B152,0)</f>
        <v>0</v>
      </c>
      <c r="D152" s="107">
        <f t="shared" si="49"/>
        <v>0</v>
      </c>
      <c r="E152" s="107">
        <f t="shared" si="49"/>
        <v>0</v>
      </c>
      <c r="F152" s="107">
        <f t="shared" si="49"/>
        <v>0</v>
      </c>
      <c r="G152" s="107">
        <f t="shared" si="49"/>
        <v>0</v>
      </c>
      <c r="H152" s="107">
        <f t="shared" si="49"/>
        <v>0</v>
      </c>
      <c r="I152" s="107">
        <f t="shared" si="49"/>
        <v>0</v>
      </c>
      <c r="J152" s="107">
        <f t="shared" si="49"/>
        <v>0</v>
      </c>
      <c r="K152" s="107">
        <f t="shared" si="49"/>
        <v>0</v>
      </c>
      <c r="L152" s="107">
        <f t="shared" si="49"/>
        <v>0</v>
      </c>
      <c r="M152" s="107">
        <f t="shared" si="49"/>
        <v>0</v>
      </c>
      <c r="N152" s="107">
        <f t="shared" si="49"/>
        <v>0</v>
      </c>
    </row>
    <row r="153" spans="1:16" x14ac:dyDescent="0.3">
      <c r="A153" s="4" t="str">
        <f t="shared" si="41"/>
        <v>DONATIONS/CONTRIBS/ INV INCOME</v>
      </c>
      <c r="B153" s="102">
        <v>5674163</v>
      </c>
      <c r="C153" s="107">
        <f t="shared" ref="C153:N153" si="50">IFERROR((+C17+C84)/(+$B17+$B84)*$B153,0)</f>
        <v>438283.55356736534</v>
      </c>
      <c r="D153" s="107">
        <f t="shared" si="50"/>
        <v>626910.24608327658</v>
      </c>
      <c r="E153" s="107">
        <f t="shared" si="50"/>
        <v>263528.67706140754</v>
      </c>
      <c r="F153" s="107">
        <f t="shared" si="50"/>
        <v>249816.73960885688</v>
      </c>
      <c r="G153" s="107">
        <f t="shared" si="50"/>
        <v>332111.20411807555</v>
      </c>
      <c r="H153" s="107">
        <f t="shared" si="50"/>
        <v>515963.93186671956</v>
      </c>
      <c r="I153" s="107">
        <f t="shared" si="50"/>
        <v>468538.21940059954</v>
      </c>
      <c r="J153" s="107">
        <f t="shared" si="50"/>
        <v>757907.6601614526</v>
      </c>
      <c r="K153" s="107">
        <f t="shared" si="50"/>
        <v>303316.94157809258</v>
      </c>
      <c r="L153" s="107">
        <f t="shared" si="50"/>
        <v>370372.78515524708</v>
      </c>
      <c r="M153" s="107">
        <f t="shared" si="50"/>
        <v>646455.73560509784</v>
      </c>
      <c r="N153" s="107">
        <f t="shared" si="50"/>
        <v>700957.30579380912</v>
      </c>
    </row>
    <row r="154" spans="1:16" x14ac:dyDescent="0.3">
      <c r="A154" s="4" t="str">
        <f t="shared" si="41"/>
        <v>FINES &amp; FORFEITURES</v>
      </c>
      <c r="B154" s="102">
        <v>0</v>
      </c>
      <c r="C154" s="107">
        <f t="shared" ref="C154:N154" si="51">IFERROR((+C18+C85)/(+$B18+$B85)*$B154,0)</f>
        <v>0</v>
      </c>
      <c r="D154" s="107">
        <f t="shared" si="51"/>
        <v>0</v>
      </c>
      <c r="E154" s="107">
        <f t="shared" si="51"/>
        <v>0</v>
      </c>
      <c r="F154" s="107">
        <f t="shared" si="51"/>
        <v>0</v>
      </c>
      <c r="G154" s="107">
        <f t="shared" si="51"/>
        <v>0</v>
      </c>
      <c r="H154" s="107">
        <f t="shared" si="51"/>
        <v>0</v>
      </c>
      <c r="I154" s="107">
        <f t="shared" si="51"/>
        <v>0</v>
      </c>
      <c r="J154" s="107">
        <f t="shared" si="51"/>
        <v>0</v>
      </c>
      <c r="K154" s="107">
        <f t="shared" si="51"/>
        <v>0</v>
      </c>
      <c r="L154" s="107">
        <f t="shared" si="51"/>
        <v>0</v>
      </c>
      <c r="M154" s="107">
        <f t="shared" si="51"/>
        <v>0</v>
      </c>
      <c r="N154" s="107">
        <f t="shared" si="51"/>
        <v>0</v>
      </c>
    </row>
    <row r="155" spans="1:16" x14ac:dyDescent="0.3">
      <c r="A155" s="4" t="str">
        <f t="shared" si="41"/>
        <v>USE OF MONEY &amp; PROPERTY</v>
      </c>
      <c r="B155" s="102">
        <v>0</v>
      </c>
      <c r="C155" s="107">
        <f t="shared" ref="C155:N155" si="52">IFERROR((+C19+C86)/(+$B19+$B86)*$B155,0)</f>
        <v>0</v>
      </c>
      <c r="D155" s="107">
        <f t="shared" si="52"/>
        <v>0</v>
      </c>
      <c r="E155" s="107">
        <f t="shared" si="52"/>
        <v>0</v>
      </c>
      <c r="F155" s="107">
        <f t="shared" si="52"/>
        <v>0</v>
      </c>
      <c r="G155" s="107">
        <f t="shared" si="52"/>
        <v>0</v>
      </c>
      <c r="H155" s="107">
        <f t="shared" si="52"/>
        <v>0</v>
      </c>
      <c r="I155" s="107">
        <f t="shared" si="52"/>
        <v>0</v>
      </c>
      <c r="J155" s="107">
        <f t="shared" si="52"/>
        <v>0</v>
      </c>
      <c r="K155" s="107">
        <f t="shared" si="52"/>
        <v>0</v>
      </c>
      <c r="L155" s="107">
        <f t="shared" si="52"/>
        <v>0</v>
      </c>
      <c r="M155" s="107">
        <f t="shared" si="52"/>
        <v>0</v>
      </c>
      <c r="N155" s="107">
        <f t="shared" si="52"/>
        <v>0</v>
      </c>
    </row>
    <row r="156" spans="1:16" x14ac:dyDescent="0.3">
      <c r="A156" s="4" t="str">
        <f t="shared" si="41"/>
        <v>OTHER SOURCES / INV MATURITIES</v>
      </c>
      <c r="B156" s="102">
        <v>0</v>
      </c>
      <c r="C156" s="107">
        <f t="shared" ref="C156:N156" si="53">IFERROR((+C20+C87)/(+$B20+$B87)*$B156,0)</f>
        <v>0</v>
      </c>
      <c r="D156" s="107">
        <f t="shared" si="53"/>
        <v>0</v>
      </c>
      <c r="E156" s="107">
        <f t="shared" si="53"/>
        <v>0</v>
      </c>
      <c r="F156" s="107">
        <f t="shared" si="53"/>
        <v>0</v>
      </c>
      <c r="G156" s="107">
        <f t="shared" si="53"/>
        <v>0</v>
      </c>
      <c r="H156" s="107">
        <f t="shared" si="53"/>
        <v>0</v>
      </c>
      <c r="I156" s="107">
        <f t="shared" si="53"/>
        <v>0</v>
      </c>
      <c r="J156" s="107">
        <f t="shared" si="53"/>
        <v>0</v>
      </c>
      <c r="K156" s="107">
        <f t="shared" si="53"/>
        <v>0</v>
      </c>
      <c r="L156" s="107">
        <f t="shared" si="53"/>
        <v>0</v>
      </c>
      <c r="M156" s="107">
        <f t="shared" si="53"/>
        <v>0</v>
      </c>
      <c r="N156" s="107">
        <f t="shared" si="53"/>
        <v>0</v>
      </c>
    </row>
    <row r="157" spans="1:16" x14ac:dyDescent="0.3">
      <c r="A157" s="4" t="str">
        <f t="shared" si="41"/>
        <v>TRANSIT TAX</v>
      </c>
      <c r="B157" s="102">
        <v>12000000</v>
      </c>
      <c r="C157" s="107">
        <f t="shared" ref="C157:N157" si="54">IFERROR((+C21+C88)/(+$B21+$B88)*$B157,0)</f>
        <v>1009131.8033927582</v>
      </c>
      <c r="D157" s="107">
        <f t="shared" si="54"/>
        <v>1022769.554047266</v>
      </c>
      <c r="E157" s="107">
        <f t="shared" si="54"/>
        <v>889997.9578856834</v>
      </c>
      <c r="F157" s="107">
        <f t="shared" si="54"/>
        <v>779484.21403646725</v>
      </c>
      <c r="G157" s="107">
        <f t="shared" si="54"/>
        <v>970540.65892414039</v>
      </c>
      <c r="H157" s="107">
        <f t="shared" si="54"/>
        <v>943646.49498718767</v>
      </c>
      <c r="I157" s="107">
        <f t="shared" si="54"/>
        <v>1031123.4110891377</v>
      </c>
      <c r="J157" s="107">
        <f t="shared" si="54"/>
        <v>945454.88374252664</v>
      </c>
      <c r="K157" s="107">
        <f t="shared" si="54"/>
        <v>1231847.6474871889</v>
      </c>
      <c r="L157" s="107">
        <f t="shared" si="54"/>
        <v>1079250.4596609564</v>
      </c>
      <c r="M157" s="107">
        <f t="shared" si="54"/>
        <v>1048741.9880149583</v>
      </c>
      <c r="N157" s="107">
        <f t="shared" si="54"/>
        <v>1048010.9267317293</v>
      </c>
    </row>
    <row r="158" spans="1:16" x14ac:dyDescent="0.3">
      <c r="A158" s="4" t="str">
        <f t="shared" si="41"/>
        <v>PARK</v>
      </c>
      <c r="B158" s="102">
        <v>4862081</v>
      </c>
      <c r="C158" s="107">
        <f t="shared" ref="C158:N158" si="55">IFERROR((+C22+C89)/(+$B22+$B89)*$B158,0)</f>
        <v>233128.08709563126</v>
      </c>
      <c r="D158" s="107">
        <f t="shared" si="55"/>
        <v>118522.93039374145</v>
      </c>
      <c r="E158" s="107">
        <f t="shared" si="55"/>
        <v>108252.58728738723</v>
      </c>
      <c r="F158" s="107">
        <f t="shared" si="55"/>
        <v>136575.43794754264</v>
      </c>
      <c r="G158" s="107">
        <f t="shared" si="55"/>
        <v>361130.22548040823</v>
      </c>
      <c r="H158" s="107">
        <f t="shared" si="55"/>
        <v>809377.66612559964</v>
      </c>
      <c r="I158" s="107">
        <f t="shared" si="55"/>
        <v>1465196.6469630699</v>
      </c>
      <c r="J158" s="107">
        <f t="shared" si="55"/>
        <v>1055848.8181384993</v>
      </c>
      <c r="K158" s="107">
        <f t="shared" si="55"/>
        <v>324527.68140689691</v>
      </c>
      <c r="L158" s="107">
        <f t="shared" si="55"/>
        <v>136511.9122533976</v>
      </c>
      <c r="M158" s="107">
        <f t="shared" si="55"/>
        <v>27350.747390927751</v>
      </c>
      <c r="N158" s="107">
        <f t="shared" si="55"/>
        <v>85658.259516897975</v>
      </c>
    </row>
    <row r="159" spans="1:16" x14ac:dyDescent="0.3">
      <c r="A159" s="4" t="str">
        <f t="shared" si="41"/>
        <v>LIBRARY</v>
      </c>
      <c r="B159" s="102">
        <v>643597</v>
      </c>
      <c r="C159" s="107">
        <f t="shared" ref="C159:N159" si="56">IFERROR((+C23+C90)/(+$B23+$B90)*$B159,0)</f>
        <v>38312.707625712341</v>
      </c>
      <c r="D159" s="107">
        <f t="shared" si="56"/>
        <v>24795.547857907975</v>
      </c>
      <c r="E159" s="107">
        <f t="shared" si="56"/>
        <v>87265.022003690086</v>
      </c>
      <c r="F159" s="107">
        <f t="shared" si="56"/>
        <v>72226.327607088868</v>
      </c>
      <c r="G159" s="107">
        <f t="shared" si="56"/>
        <v>31188.422895068397</v>
      </c>
      <c r="H159" s="107">
        <f t="shared" si="56"/>
        <v>26732.138506536303</v>
      </c>
      <c r="I159" s="107">
        <f t="shared" si="56"/>
        <v>31778.612308633648</v>
      </c>
      <c r="J159" s="107">
        <f t="shared" si="56"/>
        <v>66859.956970194587</v>
      </c>
      <c r="K159" s="107">
        <f t="shared" si="56"/>
        <v>81995.835215341707</v>
      </c>
      <c r="L159" s="107">
        <f t="shared" si="56"/>
        <v>97532.090669862853</v>
      </c>
      <c r="M159" s="107">
        <f t="shared" si="56"/>
        <v>51127.815320948095</v>
      </c>
      <c r="N159" s="107">
        <f t="shared" si="56"/>
        <v>33782.523019015127</v>
      </c>
    </row>
    <row r="160" spans="1:16" x14ac:dyDescent="0.3">
      <c r="A160" s="4" t="str">
        <f t="shared" si="41"/>
        <v>FINANCING PROCEEDS</v>
      </c>
      <c r="B160" s="102">
        <v>11548502</v>
      </c>
      <c r="C160" s="107">
        <f t="shared" ref="C160:N160" si="57">IFERROR((+C24+C91)/(+$B24+$B91)*$B160,0)</f>
        <v>0</v>
      </c>
      <c r="D160" s="107">
        <f t="shared" si="57"/>
        <v>0</v>
      </c>
      <c r="E160" s="107">
        <f t="shared" si="57"/>
        <v>0</v>
      </c>
      <c r="F160" s="107">
        <f t="shared" si="57"/>
        <v>0</v>
      </c>
      <c r="G160" s="107">
        <f t="shared" si="57"/>
        <v>0</v>
      </c>
      <c r="H160" s="107">
        <f t="shared" si="57"/>
        <v>0</v>
      </c>
      <c r="I160" s="107">
        <f t="shared" si="57"/>
        <v>0</v>
      </c>
      <c r="J160" s="107">
        <f t="shared" si="57"/>
        <v>0</v>
      </c>
      <c r="K160" s="107">
        <f t="shared" si="57"/>
        <v>0</v>
      </c>
      <c r="L160" s="107">
        <f t="shared" si="57"/>
        <v>0</v>
      </c>
      <c r="M160" s="107">
        <f t="shared" si="57"/>
        <v>0</v>
      </c>
      <c r="N160" s="107">
        <f t="shared" si="57"/>
        <v>11548502</v>
      </c>
    </row>
    <row r="161" spans="1:14" x14ac:dyDescent="0.3">
      <c r="A161" s="4" t="str">
        <f t="shared" si="41"/>
        <v>OTHER NON-RECURRING SOURCES</v>
      </c>
      <c r="B161" s="102"/>
      <c r="C161" s="107">
        <f t="shared" ref="C161:N161" si="58">IFERROR((+C25+C92)/(+$B25+$B92)*$B161,0)</f>
        <v>0</v>
      </c>
      <c r="D161" s="107">
        <f t="shared" si="58"/>
        <v>0</v>
      </c>
      <c r="E161" s="107">
        <f t="shared" si="58"/>
        <v>0</v>
      </c>
      <c r="F161" s="107">
        <f t="shared" si="58"/>
        <v>0</v>
      </c>
      <c r="G161" s="107">
        <f t="shared" si="58"/>
        <v>0</v>
      </c>
      <c r="H161" s="107">
        <f t="shared" si="58"/>
        <v>0</v>
      </c>
      <c r="I161" s="107">
        <f t="shared" si="58"/>
        <v>0</v>
      </c>
      <c r="J161" s="107">
        <f t="shared" si="58"/>
        <v>0</v>
      </c>
      <c r="K161" s="107">
        <f t="shared" si="58"/>
        <v>0</v>
      </c>
      <c r="L161" s="107">
        <f t="shared" si="58"/>
        <v>0</v>
      </c>
      <c r="M161" s="107">
        <f t="shared" si="58"/>
        <v>0</v>
      </c>
      <c r="N161" s="107">
        <f t="shared" si="58"/>
        <v>0</v>
      </c>
    </row>
    <row r="162" spans="1:14" x14ac:dyDescent="0.3">
      <c r="A162" s="4" t="str">
        <f t="shared" si="41"/>
        <v>OTHER SOURCES</v>
      </c>
      <c r="B162" s="102"/>
      <c r="C162" s="107">
        <f t="shared" ref="C162:N162" si="59">IFERROR((+C26+C93)/(+$B26+$B93)*$B162,0)</f>
        <v>0</v>
      </c>
      <c r="D162" s="107">
        <f t="shared" si="59"/>
        <v>0</v>
      </c>
      <c r="E162" s="107">
        <f t="shared" si="59"/>
        <v>0</v>
      </c>
      <c r="F162" s="107">
        <f t="shared" si="59"/>
        <v>0</v>
      </c>
      <c r="G162" s="107">
        <f t="shared" si="59"/>
        <v>0</v>
      </c>
      <c r="H162" s="107">
        <f t="shared" si="59"/>
        <v>0</v>
      </c>
      <c r="I162" s="107">
        <f t="shared" si="59"/>
        <v>0</v>
      </c>
      <c r="J162" s="107">
        <f t="shared" si="59"/>
        <v>0</v>
      </c>
      <c r="K162" s="107">
        <f t="shared" si="59"/>
        <v>0</v>
      </c>
      <c r="L162" s="107">
        <f t="shared" si="59"/>
        <v>0</v>
      </c>
      <c r="M162" s="107">
        <f t="shared" si="59"/>
        <v>0</v>
      </c>
      <c r="N162" s="107">
        <f t="shared" si="59"/>
        <v>0</v>
      </c>
    </row>
    <row r="163" spans="1:14" x14ac:dyDescent="0.3">
      <c r="A163" s="4" t="str">
        <f t="shared" si="41"/>
        <v>OTHER SOURCES</v>
      </c>
      <c r="B163" s="102"/>
      <c r="C163" s="107">
        <f t="shared" ref="C163:N163" si="60">IFERROR((+C27+C94)/(+$B27+$B94)*$B163,0)</f>
        <v>0</v>
      </c>
      <c r="D163" s="107">
        <f t="shared" si="60"/>
        <v>0</v>
      </c>
      <c r="E163" s="107">
        <f t="shared" si="60"/>
        <v>0</v>
      </c>
      <c r="F163" s="107">
        <f t="shared" si="60"/>
        <v>0</v>
      </c>
      <c r="G163" s="107">
        <f t="shared" si="60"/>
        <v>0</v>
      </c>
      <c r="H163" s="107">
        <f t="shared" si="60"/>
        <v>0</v>
      </c>
      <c r="I163" s="107">
        <f t="shared" si="60"/>
        <v>0</v>
      </c>
      <c r="J163" s="107">
        <f t="shared" si="60"/>
        <v>0</v>
      </c>
      <c r="K163" s="107">
        <f t="shared" si="60"/>
        <v>0</v>
      </c>
      <c r="L163" s="107">
        <f t="shared" si="60"/>
        <v>0</v>
      </c>
      <c r="M163" s="107">
        <f t="shared" si="60"/>
        <v>0</v>
      </c>
      <c r="N163" s="107">
        <f t="shared" si="60"/>
        <v>0</v>
      </c>
    </row>
    <row r="164" spans="1:14" x14ac:dyDescent="0.3">
      <c r="A164" s="4" t="str">
        <f t="shared" si="41"/>
        <v>OTHER SOURCES</v>
      </c>
      <c r="B164" s="102"/>
      <c r="C164" s="107">
        <f t="shared" ref="C164:N164" si="61">IFERROR((+C28+C95)/(+$B28+$B95)*$B164,0)</f>
        <v>0</v>
      </c>
      <c r="D164" s="107">
        <f t="shared" si="61"/>
        <v>0</v>
      </c>
      <c r="E164" s="107">
        <f t="shared" si="61"/>
        <v>0</v>
      </c>
      <c r="F164" s="107">
        <f t="shared" si="61"/>
        <v>0</v>
      </c>
      <c r="G164" s="107">
        <f t="shared" si="61"/>
        <v>0</v>
      </c>
      <c r="H164" s="107">
        <f t="shared" si="61"/>
        <v>0</v>
      </c>
      <c r="I164" s="107">
        <f t="shared" si="61"/>
        <v>0</v>
      </c>
      <c r="J164" s="107">
        <f t="shared" si="61"/>
        <v>0</v>
      </c>
      <c r="K164" s="107">
        <f t="shared" si="61"/>
        <v>0</v>
      </c>
      <c r="L164" s="107">
        <f t="shared" si="61"/>
        <v>0</v>
      </c>
      <c r="M164" s="107">
        <f t="shared" si="61"/>
        <v>0</v>
      </c>
      <c r="N164" s="107">
        <f t="shared" si="61"/>
        <v>0</v>
      </c>
    </row>
    <row r="165" spans="1:14" x14ac:dyDescent="0.3">
      <c r="A165" s="4" t="str">
        <f t="shared" si="41"/>
        <v>OTHER SOURCES</v>
      </c>
      <c r="B165" s="102"/>
      <c r="C165" s="107">
        <f t="shared" ref="C165:N165" si="62">IFERROR((+C29+C96)/(+$B29+$B96)*$B165,0)</f>
        <v>0</v>
      </c>
      <c r="D165" s="107">
        <f t="shared" si="62"/>
        <v>0</v>
      </c>
      <c r="E165" s="107">
        <f t="shared" si="62"/>
        <v>0</v>
      </c>
      <c r="F165" s="107">
        <f t="shared" si="62"/>
        <v>0</v>
      </c>
      <c r="G165" s="107">
        <f t="shared" si="62"/>
        <v>0</v>
      </c>
      <c r="H165" s="107">
        <f t="shared" si="62"/>
        <v>0</v>
      </c>
      <c r="I165" s="107">
        <f t="shared" si="62"/>
        <v>0</v>
      </c>
      <c r="J165" s="107">
        <f t="shared" si="62"/>
        <v>0</v>
      </c>
      <c r="K165" s="107">
        <f t="shared" si="62"/>
        <v>0</v>
      </c>
      <c r="L165" s="107">
        <f t="shared" si="62"/>
        <v>0</v>
      </c>
      <c r="M165" s="107">
        <f t="shared" si="62"/>
        <v>0</v>
      </c>
      <c r="N165" s="107">
        <f t="shared" si="62"/>
        <v>0</v>
      </c>
    </row>
    <row r="166" spans="1:14" x14ac:dyDescent="0.3">
      <c r="A166" s="4" t="str">
        <f t="shared" si="41"/>
        <v>OTHER SOURCES</v>
      </c>
      <c r="B166" s="102"/>
      <c r="C166" s="107">
        <f t="shared" ref="C166:N166" si="63">IFERROR((+C30+C97)/(+$B30+$B97)*$B166,0)</f>
        <v>0</v>
      </c>
      <c r="D166" s="107">
        <f t="shared" si="63"/>
        <v>0</v>
      </c>
      <c r="E166" s="107">
        <f t="shared" si="63"/>
        <v>0</v>
      </c>
      <c r="F166" s="107">
        <f t="shared" si="63"/>
        <v>0</v>
      </c>
      <c r="G166" s="107">
        <f t="shared" si="63"/>
        <v>0</v>
      </c>
      <c r="H166" s="107">
        <f t="shared" si="63"/>
        <v>0</v>
      </c>
      <c r="I166" s="107">
        <f t="shared" si="63"/>
        <v>0</v>
      </c>
      <c r="J166" s="107">
        <f t="shared" si="63"/>
        <v>0</v>
      </c>
      <c r="K166" s="107">
        <f t="shared" si="63"/>
        <v>0</v>
      </c>
      <c r="L166" s="107">
        <f t="shared" si="63"/>
        <v>0</v>
      </c>
      <c r="M166" s="107">
        <f t="shared" si="63"/>
        <v>0</v>
      </c>
      <c r="N166" s="107">
        <f t="shared" si="63"/>
        <v>0</v>
      </c>
    </row>
    <row r="167" spans="1:14" x14ac:dyDescent="0.3">
      <c r="A167" s="4" t="str">
        <f t="shared" si="41"/>
        <v>OTHER SOURCES</v>
      </c>
      <c r="B167" s="102"/>
      <c r="C167" s="107">
        <f t="shared" ref="C167:N167" si="64">IFERROR((+C31+C98)/(+$B31+$B98)*$B167,0)</f>
        <v>0</v>
      </c>
      <c r="D167" s="107">
        <f t="shared" si="64"/>
        <v>0</v>
      </c>
      <c r="E167" s="107">
        <f t="shared" si="64"/>
        <v>0</v>
      </c>
      <c r="F167" s="107">
        <f t="shared" si="64"/>
        <v>0</v>
      </c>
      <c r="G167" s="107">
        <f t="shared" si="64"/>
        <v>0</v>
      </c>
      <c r="H167" s="107">
        <f t="shared" si="64"/>
        <v>0</v>
      </c>
      <c r="I167" s="107">
        <f t="shared" si="64"/>
        <v>0</v>
      </c>
      <c r="J167" s="107">
        <f t="shared" si="64"/>
        <v>0</v>
      </c>
      <c r="K167" s="107">
        <f t="shared" si="64"/>
        <v>0</v>
      </c>
      <c r="L167" s="107">
        <f t="shared" si="64"/>
        <v>0</v>
      </c>
      <c r="M167" s="107">
        <f t="shared" si="64"/>
        <v>0</v>
      </c>
      <c r="N167" s="107">
        <f t="shared" si="64"/>
        <v>0</v>
      </c>
    </row>
    <row r="168" spans="1:14" x14ac:dyDescent="0.3">
      <c r="A168" s="4" t="str">
        <f t="shared" si="41"/>
        <v>OTHER SOURCES</v>
      </c>
      <c r="B168" s="102"/>
      <c r="C168" s="107">
        <f t="shared" ref="C168:N168" si="65">IFERROR((+C32+C99)/(+$B32+$B99)*$B168,0)</f>
        <v>0</v>
      </c>
      <c r="D168" s="107">
        <f t="shared" si="65"/>
        <v>0</v>
      </c>
      <c r="E168" s="107">
        <f t="shared" si="65"/>
        <v>0</v>
      </c>
      <c r="F168" s="107">
        <f t="shared" si="65"/>
        <v>0</v>
      </c>
      <c r="G168" s="107">
        <f t="shared" si="65"/>
        <v>0</v>
      </c>
      <c r="H168" s="107">
        <f t="shared" si="65"/>
        <v>0</v>
      </c>
      <c r="I168" s="107">
        <f t="shared" si="65"/>
        <v>0</v>
      </c>
      <c r="J168" s="107">
        <f t="shared" si="65"/>
        <v>0</v>
      </c>
      <c r="K168" s="107">
        <f t="shared" si="65"/>
        <v>0</v>
      </c>
      <c r="L168" s="107">
        <f t="shared" si="65"/>
        <v>0</v>
      </c>
      <c r="M168" s="107">
        <f t="shared" si="65"/>
        <v>0</v>
      </c>
      <c r="N168" s="107">
        <f t="shared" si="65"/>
        <v>0</v>
      </c>
    </row>
    <row r="169" spans="1:14" x14ac:dyDescent="0.3">
      <c r="A169" s="4" t="str">
        <f t="shared" si="41"/>
        <v>OTHER SOURCES</v>
      </c>
      <c r="B169" s="102"/>
      <c r="C169" s="107">
        <f t="shared" ref="C169:N169" si="66">IFERROR((+C33+C100)/(+$B33+$B100)*$B169,0)</f>
        <v>0</v>
      </c>
      <c r="D169" s="107">
        <f t="shared" si="66"/>
        <v>0</v>
      </c>
      <c r="E169" s="107">
        <f t="shared" si="66"/>
        <v>0</v>
      </c>
      <c r="F169" s="107">
        <f t="shared" si="66"/>
        <v>0</v>
      </c>
      <c r="G169" s="107">
        <f t="shared" si="66"/>
        <v>0</v>
      </c>
      <c r="H169" s="107">
        <f t="shared" si="66"/>
        <v>0</v>
      </c>
      <c r="I169" s="107">
        <f t="shared" si="66"/>
        <v>0</v>
      </c>
      <c r="J169" s="107">
        <f t="shared" si="66"/>
        <v>0</v>
      </c>
      <c r="K169" s="107">
        <f t="shared" si="66"/>
        <v>0</v>
      </c>
      <c r="L169" s="107">
        <f t="shared" si="66"/>
        <v>0</v>
      </c>
      <c r="M169" s="107">
        <f t="shared" si="66"/>
        <v>0</v>
      </c>
      <c r="N169" s="107">
        <f t="shared" si="66"/>
        <v>0</v>
      </c>
    </row>
    <row r="170" spans="1:14" x14ac:dyDescent="0.3">
      <c r="A170" s="4" t="str">
        <f t="shared" si="41"/>
        <v>OTHER SOURCES</v>
      </c>
      <c r="B170" s="102"/>
      <c r="C170" s="107">
        <f t="shared" ref="C170:N170" si="67">IFERROR((+C34+C101)/(+$B34+$B101)*$B170,0)</f>
        <v>0</v>
      </c>
      <c r="D170" s="107">
        <f t="shared" si="67"/>
        <v>0</v>
      </c>
      <c r="E170" s="107">
        <f t="shared" si="67"/>
        <v>0</v>
      </c>
      <c r="F170" s="107">
        <f t="shared" si="67"/>
        <v>0</v>
      </c>
      <c r="G170" s="107">
        <f t="shared" si="67"/>
        <v>0</v>
      </c>
      <c r="H170" s="107">
        <f t="shared" si="67"/>
        <v>0</v>
      </c>
      <c r="I170" s="107">
        <f t="shared" si="67"/>
        <v>0</v>
      </c>
      <c r="J170" s="107">
        <f t="shared" si="67"/>
        <v>0</v>
      </c>
      <c r="K170" s="107">
        <f t="shared" si="67"/>
        <v>0</v>
      </c>
      <c r="L170" s="107">
        <f t="shared" si="67"/>
        <v>0</v>
      </c>
      <c r="M170" s="107">
        <f t="shared" si="67"/>
        <v>0</v>
      </c>
      <c r="N170" s="107">
        <f t="shared" si="67"/>
        <v>0</v>
      </c>
    </row>
    <row r="171" spans="1:14" x14ac:dyDescent="0.3">
      <c r="A171" s="4" t="str">
        <f t="shared" si="41"/>
        <v>OTHER SOURCES</v>
      </c>
      <c r="B171" s="102"/>
      <c r="C171" s="107">
        <f t="shared" ref="C171:N171" si="68">IFERROR((+C35+C102)/(+$B35+$B102)*$B171,0)</f>
        <v>0</v>
      </c>
      <c r="D171" s="107">
        <f t="shared" si="68"/>
        <v>0</v>
      </c>
      <c r="E171" s="107">
        <f t="shared" si="68"/>
        <v>0</v>
      </c>
      <c r="F171" s="107">
        <f t="shared" si="68"/>
        <v>0</v>
      </c>
      <c r="G171" s="107">
        <f t="shared" si="68"/>
        <v>0</v>
      </c>
      <c r="H171" s="107">
        <f t="shared" si="68"/>
        <v>0</v>
      </c>
      <c r="I171" s="107">
        <f t="shared" si="68"/>
        <v>0</v>
      </c>
      <c r="J171" s="107">
        <f t="shared" si="68"/>
        <v>0</v>
      </c>
      <c r="K171" s="107">
        <f t="shared" si="68"/>
        <v>0</v>
      </c>
      <c r="L171" s="107">
        <f t="shared" si="68"/>
        <v>0</v>
      </c>
      <c r="M171" s="107">
        <f t="shared" si="68"/>
        <v>0</v>
      </c>
      <c r="N171" s="107">
        <f t="shared" si="68"/>
        <v>0</v>
      </c>
    </row>
    <row r="172" spans="1:14" x14ac:dyDescent="0.3">
      <c r="A172" s="4" t="str">
        <f t="shared" si="41"/>
        <v>OTHER SOURCES</v>
      </c>
      <c r="B172" s="102"/>
      <c r="C172" s="107">
        <f t="shared" ref="C172:N172" si="69">IFERROR((+C36+C103)/(+$B36+$B103)*$B172,0)</f>
        <v>0</v>
      </c>
      <c r="D172" s="107">
        <f t="shared" si="69"/>
        <v>0</v>
      </c>
      <c r="E172" s="107">
        <f t="shared" si="69"/>
        <v>0</v>
      </c>
      <c r="F172" s="107">
        <f t="shared" si="69"/>
        <v>0</v>
      </c>
      <c r="G172" s="107">
        <f t="shared" si="69"/>
        <v>0</v>
      </c>
      <c r="H172" s="107">
        <f t="shared" si="69"/>
        <v>0</v>
      </c>
      <c r="I172" s="107">
        <f t="shared" si="69"/>
        <v>0</v>
      </c>
      <c r="J172" s="107">
        <f t="shared" si="69"/>
        <v>0</v>
      </c>
      <c r="K172" s="107">
        <f t="shared" si="69"/>
        <v>0</v>
      </c>
      <c r="L172" s="107">
        <f t="shared" si="69"/>
        <v>0</v>
      </c>
      <c r="M172" s="107">
        <f t="shared" si="69"/>
        <v>0</v>
      </c>
      <c r="N172" s="107">
        <f t="shared" si="69"/>
        <v>0</v>
      </c>
    </row>
    <row r="173" spans="1:14" x14ac:dyDescent="0.3">
      <c r="A173" s="4" t="str">
        <f t="shared" si="41"/>
        <v>OTHER SOURCES</v>
      </c>
      <c r="B173" s="102"/>
      <c r="C173" s="107">
        <f t="shared" ref="C173:N173" si="70">IFERROR((+C37+C104)/(+$B37+$B104)*$B173,0)</f>
        <v>0</v>
      </c>
      <c r="D173" s="107">
        <f t="shared" si="70"/>
        <v>0</v>
      </c>
      <c r="E173" s="107">
        <f t="shared" si="70"/>
        <v>0</v>
      </c>
      <c r="F173" s="107">
        <f t="shared" si="70"/>
        <v>0</v>
      </c>
      <c r="G173" s="107">
        <f t="shared" si="70"/>
        <v>0</v>
      </c>
      <c r="H173" s="107">
        <f t="shared" si="70"/>
        <v>0</v>
      </c>
      <c r="I173" s="107">
        <f t="shared" si="70"/>
        <v>0</v>
      </c>
      <c r="J173" s="107">
        <f t="shared" si="70"/>
        <v>0</v>
      </c>
      <c r="K173" s="107">
        <f t="shared" si="70"/>
        <v>0</v>
      </c>
      <c r="L173" s="107">
        <f t="shared" si="70"/>
        <v>0</v>
      </c>
      <c r="M173" s="107">
        <f t="shared" si="70"/>
        <v>0</v>
      </c>
      <c r="N173" s="107">
        <f t="shared" si="70"/>
        <v>0</v>
      </c>
    </row>
    <row r="174" spans="1:14" x14ac:dyDescent="0.3">
      <c r="A174" s="4" t="str">
        <f t="shared" si="41"/>
        <v>OTHER SOURCES</v>
      </c>
      <c r="B174" s="102"/>
      <c r="C174" s="107">
        <f t="shared" ref="C174:N174" si="71">IFERROR((+C38+C105)/(+$B38+$B105)*$B174,0)</f>
        <v>0</v>
      </c>
      <c r="D174" s="107">
        <f t="shared" si="71"/>
        <v>0</v>
      </c>
      <c r="E174" s="107">
        <f t="shared" si="71"/>
        <v>0</v>
      </c>
      <c r="F174" s="107">
        <f t="shared" si="71"/>
        <v>0</v>
      </c>
      <c r="G174" s="107">
        <f t="shared" si="71"/>
        <v>0</v>
      </c>
      <c r="H174" s="107">
        <f t="shared" si="71"/>
        <v>0</v>
      </c>
      <c r="I174" s="107">
        <f t="shared" si="71"/>
        <v>0</v>
      </c>
      <c r="J174" s="107">
        <f t="shared" si="71"/>
        <v>0</v>
      </c>
      <c r="K174" s="107">
        <f t="shared" si="71"/>
        <v>0</v>
      </c>
      <c r="L174" s="107">
        <f t="shared" si="71"/>
        <v>0</v>
      </c>
      <c r="M174" s="107">
        <f t="shared" si="71"/>
        <v>0</v>
      </c>
      <c r="N174" s="107">
        <f t="shared" si="71"/>
        <v>0</v>
      </c>
    </row>
    <row r="175" spans="1:14" x14ac:dyDescent="0.3">
      <c r="A175" s="40" t="s">
        <v>8</v>
      </c>
      <c r="B175" s="103">
        <f t="shared" ref="B175:N175" si="72">SUM(B145:B174)</f>
        <v>937397877</v>
      </c>
      <c r="C175" s="103">
        <f t="shared" si="72"/>
        <v>21497951.737969112</v>
      </c>
      <c r="D175" s="103">
        <f t="shared" si="72"/>
        <v>30042564.248751458</v>
      </c>
      <c r="E175" s="103">
        <f t="shared" si="72"/>
        <v>28703381.451815356</v>
      </c>
      <c r="F175" s="103">
        <f t="shared" si="72"/>
        <v>137136998.30463272</v>
      </c>
      <c r="G175" s="103">
        <f t="shared" si="72"/>
        <v>177410557.11319903</v>
      </c>
      <c r="H175" s="103">
        <f t="shared" si="72"/>
        <v>78654981.992211655</v>
      </c>
      <c r="I175" s="103">
        <f t="shared" si="72"/>
        <v>38855956.986495458</v>
      </c>
      <c r="J175" s="103">
        <f t="shared" si="72"/>
        <v>31137150.627308905</v>
      </c>
      <c r="K175" s="103">
        <f t="shared" si="72"/>
        <v>63085491.826306313</v>
      </c>
      <c r="L175" s="103">
        <f t="shared" si="72"/>
        <v>210760533.12049282</v>
      </c>
      <c r="M175" s="103">
        <f t="shared" si="72"/>
        <v>80279916.016399637</v>
      </c>
      <c r="N175" s="103">
        <f t="shared" si="72"/>
        <v>39832393.574417502</v>
      </c>
    </row>
    <row r="176" spans="1:14" x14ac:dyDescent="0.3">
      <c r="A176" s="10" t="s">
        <v>7</v>
      </c>
      <c r="B176" s="107"/>
      <c r="C176" s="107"/>
      <c r="D176" s="107"/>
      <c r="E176" s="107"/>
      <c r="F176" s="107"/>
      <c r="G176" s="107"/>
      <c r="H176" s="107"/>
      <c r="I176" s="107"/>
      <c r="J176" s="107"/>
      <c r="K176" s="107"/>
      <c r="L176" s="107"/>
      <c r="M176" s="107"/>
      <c r="N176" s="107"/>
    </row>
    <row r="177" spans="1:27" x14ac:dyDescent="0.3">
      <c r="A177" s="4" t="str">
        <f t="shared" ref="A177:A192" si="73">A41</f>
        <v>SALARIES &amp; WAGES</v>
      </c>
      <c r="B177" s="102">
        <v>115492000</v>
      </c>
      <c r="C177" s="107">
        <f>IFERROR(C$143*$B177,0)</f>
        <v>8884000</v>
      </c>
      <c r="D177" s="107">
        <f t="shared" ref="D177:N178" si="74">IFERROR(D$143*$B177,0)</f>
        <v>8884000</v>
      </c>
      <c r="E177" s="107">
        <f t="shared" si="74"/>
        <v>8884000</v>
      </c>
      <c r="F177" s="107">
        <f t="shared" si="74"/>
        <v>8884000</v>
      </c>
      <c r="G177" s="107">
        <f t="shared" si="74"/>
        <v>13326000</v>
      </c>
      <c r="H177" s="107">
        <f t="shared" si="74"/>
        <v>8884000</v>
      </c>
      <c r="I177" s="107">
        <f t="shared" si="74"/>
        <v>8884000</v>
      </c>
      <c r="J177" s="107">
        <f t="shared" si="74"/>
        <v>8884000</v>
      </c>
      <c r="K177" s="107">
        <f t="shared" si="74"/>
        <v>8884000</v>
      </c>
      <c r="L177" s="107">
        <f t="shared" si="74"/>
        <v>13326000</v>
      </c>
      <c r="M177" s="107">
        <f t="shared" si="74"/>
        <v>8884000</v>
      </c>
      <c r="N177" s="107">
        <f t="shared" si="74"/>
        <v>8884000</v>
      </c>
      <c r="P177" s="37" t="s">
        <v>140</v>
      </c>
      <c r="Q177" s="123"/>
      <c r="R177" s="123"/>
      <c r="S177" s="35"/>
      <c r="T177" s="35"/>
      <c r="U177" s="35"/>
      <c r="V177" s="35"/>
      <c r="W177" s="35"/>
      <c r="X177" s="35"/>
      <c r="Y177" s="35"/>
      <c r="Z177" s="35"/>
      <c r="AA177" s="35"/>
    </row>
    <row r="178" spans="1:27" x14ac:dyDescent="0.3">
      <c r="A178" s="4" t="str">
        <f t="shared" si="73"/>
        <v>BENEFITS</v>
      </c>
      <c r="B178" s="102">
        <v>23712000</v>
      </c>
      <c r="C178" s="107">
        <f>IFERROR(C$143*$B178,0)</f>
        <v>1824000</v>
      </c>
      <c r="D178" s="107">
        <f t="shared" si="74"/>
        <v>1824000</v>
      </c>
      <c r="E178" s="107">
        <f t="shared" si="74"/>
        <v>1824000</v>
      </c>
      <c r="F178" s="107">
        <f t="shared" si="74"/>
        <v>1824000</v>
      </c>
      <c r="G178" s="107">
        <f t="shared" si="74"/>
        <v>2736000</v>
      </c>
      <c r="H178" s="107">
        <f t="shared" si="74"/>
        <v>1824000</v>
      </c>
      <c r="I178" s="107">
        <f t="shared" si="74"/>
        <v>1824000</v>
      </c>
      <c r="J178" s="107">
        <f t="shared" si="74"/>
        <v>1824000</v>
      </c>
      <c r="K178" s="107">
        <f t="shared" si="74"/>
        <v>1824000</v>
      </c>
      <c r="L178" s="107">
        <f t="shared" si="74"/>
        <v>2736000</v>
      </c>
      <c r="M178" s="107">
        <f t="shared" si="74"/>
        <v>1824000</v>
      </c>
      <c r="N178" s="107">
        <f t="shared" si="74"/>
        <v>1824000</v>
      </c>
      <c r="P178" s="37" t="s">
        <v>140</v>
      </c>
      <c r="Q178" s="123"/>
      <c r="R178" s="123"/>
      <c r="S178" s="35"/>
      <c r="T178" s="35"/>
      <c r="U178" s="35"/>
      <c r="V178" s="35"/>
      <c r="W178" s="35"/>
      <c r="X178" s="35"/>
      <c r="Y178" s="35"/>
      <c r="Z178" s="35"/>
      <c r="AA178" s="35"/>
    </row>
    <row r="179" spans="1:27" x14ac:dyDescent="0.3">
      <c r="A179" s="4" t="str">
        <f t="shared" si="73"/>
        <v>CONTRACTUAL SERVICES</v>
      </c>
      <c r="B179" s="102">
        <v>237661628</v>
      </c>
      <c r="C179" s="107">
        <f t="shared" ref="C179:N179" si="75">IFERROR((+C43+C110)/(+$B43+$B110)*$B179,0)</f>
        <v>23040423.954437431</v>
      </c>
      <c r="D179" s="107">
        <f t="shared" si="75"/>
        <v>16046183.786478575</v>
      </c>
      <c r="E179" s="107">
        <f t="shared" si="75"/>
        <v>17866472.983169977</v>
      </c>
      <c r="F179" s="107">
        <f t="shared" si="75"/>
        <v>19650860.409263793</v>
      </c>
      <c r="G179" s="107">
        <f t="shared" si="75"/>
        <v>18009841.079166364</v>
      </c>
      <c r="H179" s="107">
        <f t="shared" si="75"/>
        <v>18190118.06502312</v>
      </c>
      <c r="I179" s="107">
        <f t="shared" si="75"/>
        <v>23851625.020307444</v>
      </c>
      <c r="J179" s="107">
        <f t="shared" si="75"/>
        <v>24603627.098898668</v>
      </c>
      <c r="K179" s="107">
        <f t="shared" si="75"/>
        <v>22253432.263030365</v>
      </c>
      <c r="L179" s="107">
        <f t="shared" si="75"/>
        <v>21678969.114259314</v>
      </c>
      <c r="M179" s="107">
        <f t="shared" si="75"/>
        <v>18404176.542631406</v>
      </c>
      <c r="N179" s="107">
        <f t="shared" si="75"/>
        <v>14065897.683333546</v>
      </c>
      <c r="P179" s="35"/>
      <c r="Q179" s="35"/>
      <c r="R179" s="35"/>
      <c r="S179" s="35"/>
      <c r="T179" s="35"/>
      <c r="U179" s="35"/>
      <c r="V179" s="35"/>
      <c r="W179" s="35"/>
      <c r="X179" s="35"/>
      <c r="Y179" s="35"/>
      <c r="Z179" s="35"/>
      <c r="AA179" s="35"/>
    </row>
    <row r="180" spans="1:27" x14ac:dyDescent="0.3">
      <c r="A180" s="4" t="str">
        <f t="shared" si="73"/>
        <v>UTILITIES</v>
      </c>
      <c r="B180" s="102">
        <v>0</v>
      </c>
      <c r="C180" s="107">
        <f t="shared" ref="C180:N180" si="76">IFERROR((+C44+C111)/(+$B44+$B111)*$B180,0)</f>
        <v>0</v>
      </c>
      <c r="D180" s="107">
        <f t="shared" si="76"/>
        <v>0</v>
      </c>
      <c r="E180" s="107">
        <f t="shared" si="76"/>
        <v>0</v>
      </c>
      <c r="F180" s="107">
        <f t="shared" si="76"/>
        <v>0</v>
      </c>
      <c r="G180" s="107">
        <f t="shared" si="76"/>
        <v>0</v>
      </c>
      <c r="H180" s="107">
        <f t="shared" si="76"/>
        <v>0</v>
      </c>
      <c r="I180" s="107">
        <f t="shared" si="76"/>
        <v>0</v>
      </c>
      <c r="J180" s="107">
        <f t="shared" si="76"/>
        <v>0</v>
      </c>
      <c r="K180" s="107">
        <f t="shared" si="76"/>
        <v>0</v>
      </c>
      <c r="L180" s="107">
        <f t="shared" si="76"/>
        <v>0</v>
      </c>
      <c r="M180" s="107">
        <f t="shared" si="76"/>
        <v>0</v>
      </c>
      <c r="N180" s="107">
        <f t="shared" si="76"/>
        <v>0</v>
      </c>
      <c r="P180" s="35"/>
      <c r="Q180" s="35"/>
      <c r="R180" s="35"/>
      <c r="S180" s="35"/>
      <c r="T180" s="35"/>
      <c r="U180" s="35"/>
      <c r="V180" s="35"/>
      <c r="W180" s="35"/>
      <c r="X180" s="35"/>
      <c r="Y180" s="35"/>
      <c r="Z180" s="35"/>
      <c r="AA180" s="35"/>
    </row>
    <row r="181" spans="1:27" x14ac:dyDescent="0.3">
      <c r="A181" s="4" t="str">
        <f t="shared" si="73"/>
        <v>MAINTENANCE AND REPAIRS</v>
      </c>
      <c r="B181" s="102">
        <v>0</v>
      </c>
      <c r="C181" s="107">
        <f t="shared" ref="C181:N181" si="77">IFERROR((+C45+C112)/(+$B45+$B112)*$B181,0)</f>
        <v>0</v>
      </c>
      <c r="D181" s="107">
        <f t="shared" si="77"/>
        <v>0</v>
      </c>
      <c r="E181" s="107">
        <f t="shared" si="77"/>
        <v>0</v>
      </c>
      <c r="F181" s="107">
        <f t="shared" si="77"/>
        <v>0</v>
      </c>
      <c r="G181" s="107">
        <f t="shared" si="77"/>
        <v>0</v>
      </c>
      <c r="H181" s="107">
        <f t="shared" si="77"/>
        <v>0</v>
      </c>
      <c r="I181" s="107">
        <f t="shared" si="77"/>
        <v>0</v>
      </c>
      <c r="J181" s="107">
        <f t="shared" si="77"/>
        <v>0</v>
      </c>
      <c r="K181" s="107">
        <f t="shared" si="77"/>
        <v>0</v>
      </c>
      <c r="L181" s="107">
        <f t="shared" si="77"/>
        <v>0</v>
      </c>
      <c r="M181" s="107">
        <f t="shared" si="77"/>
        <v>0</v>
      </c>
      <c r="N181" s="107">
        <f t="shared" si="77"/>
        <v>0</v>
      </c>
      <c r="P181" s="35"/>
      <c r="Q181" s="35"/>
      <c r="R181" s="35"/>
      <c r="S181" s="35"/>
      <c r="T181" s="35"/>
      <c r="U181" s="35"/>
      <c r="V181" s="35"/>
      <c r="W181" s="35"/>
      <c r="X181" s="35"/>
      <c r="Y181" s="35"/>
      <c r="Z181" s="35"/>
      <c r="AA181" s="35"/>
    </row>
    <row r="182" spans="1:27" x14ac:dyDescent="0.3">
      <c r="A182" s="4" t="str">
        <f t="shared" si="73"/>
        <v>FISCAL DISPARITIES</v>
      </c>
      <c r="B182" s="102">
        <v>69982347</v>
      </c>
      <c r="C182" s="107">
        <f t="shared" ref="C182:N182" si="78">IFERROR((+C46+C113)/(+$B46+$B113)*$B182,0)</f>
        <v>0</v>
      </c>
      <c r="D182" s="107">
        <f t="shared" si="78"/>
        <v>0</v>
      </c>
      <c r="E182" s="107">
        <f t="shared" si="78"/>
        <v>0</v>
      </c>
      <c r="F182" s="107">
        <f t="shared" si="78"/>
        <v>0</v>
      </c>
      <c r="G182" s="107">
        <f t="shared" si="78"/>
        <v>0</v>
      </c>
      <c r="H182" s="107">
        <f t="shared" si="78"/>
        <v>34143531.13583982</v>
      </c>
      <c r="I182" s="107">
        <f t="shared" si="78"/>
        <v>847642.36416018405</v>
      </c>
      <c r="J182" s="107">
        <f t="shared" si="78"/>
        <v>0</v>
      </c>
      <c r="K182" s="107">
        <f t="shared" si="78"/>
        <v>0</v>
      </c>
      <c r="L182" s="107">
        <f t="shared" si="78"/>
        <v>0</v>
      </c>
      <c r="M182" s="107">
        <f t="shared" si="78"/>
        <v>34991173.5</v>
      </c>
      <c r="N182" s="107">
        <f t="shared" si="78"/>
        <v>0</v>
      </c>
      <c r="P182" s="35"/>
      <c r="Q182" s="35"/>
      <c r="R182" s="35"/>
      <c r="S182" s="35"/>
      <c r="T182" s="35"/>
      <c r="U182" s="35"/>
      <c r="V182" s="35"/>
      <c r="W182" s="35"/>
      <c r="X182" s="35"/>
      <c r="Y182" s="35"/>
      <c r="Z182" s="35"/>
      <c r="AA182" s="35"/>
    </row>
    <row r="183" spans="1:27" x14ac:dyDescent="0.3">
      <c r="A183" s="4" t="str">
        <f t="shared" si="73"/>
        <v>CAPITAL</v>
      </c>
      <c r="B183" s="102">
        <v>0</v>
      </c>
      <c r="C183" s="107">
        <f t="shared" ref="C183:N183" si="79">IFERROR((+C47+C114)/(+$B47+$B114)*$B183,0)</f>
        <v>0</v>
      </c>
      <c r="D183" s="107">
        <f t="shared" si="79"/>
        <v>0</v>
      </c>
      <c r="E183" s="107">
        <f t="shared" si="79"/>
        <v>0</v>
      </c>
      <c r="F183" s="107">
        <f t="shared" si="79"/>
        <v>0</v>
      </c>
      <c r="G183" s="107">
        <f t="shared" si="79"/>
        <v>0</v>
      </c>
      <c r="H183" s="107">
        <f t="shared" si="79"/>
        <v>0</v>
      </c>
      <c r="I183" s="107">
        <f t="shared" si="79"/>
        <v>0</v>
      </c>
      <c r="J183" s="107">
        <f t="shared" si="79"/>
        <v>0</v>
      </c>
      <c r="K183" s="107">
        <f t="shared" si="79"/>
        <v>0</v>
      </c>
      <c r="L183" s="107">
        <f t="shared" si="79"/>
        <v>0</v>
      </c>
      <c r="M183" s="107">
        <f t="shared" si="79"/>
        <v>0</v>
      </c>
      <c r="N183" s="107">
        <f t="shared" si="79"/>
        <v>0</v>
      </c>
      <c r="P183" s="35"/>
      <c r="Q183" s="35"/>
      <c r="R183" s="35"/>
      <c r="S183" s="35"/>
      <c r="T183" s="35"/>
      <c r="U183" s="35"/>
      <c r="V183" s="35"/>
      <c r="W183" s="35"/>
      <c r="X183" s="35"/>
      <c r="Y183" s="35"/>
      <c r="Z183" s="35"/>
      <c r="AA183" s="35"/>
    </row>
    <row r="184" spans="1:27" x14ac:dyDescent="0.3">
      <c r="A184" s="4" t="str">
        <f t="shared" si="73"/>
        <v>GRANTS</v>
      </c>
      <c r="B184" s="102">
        <v>0</v>
      </c>
      <c r="C184" s="107">
        <f t="shared" ref="C184:N184" si="80">IFERROR((+C48+C115)/(+$B48+$B115)*$B184,0)</f>
        <v>0</v>
      </c>
      <c r="D184" s="107">
        <f t="shared" si="80"/>
        <v>0</v>
      </c>
      <c r="E184" s="107">
        <f t="shared" si="80"/>
        <v>0</v>
      </c>
      <c r="F184" s="107">
        <f t="shared" si="80"/>
        <v>0</v>
      </c>
      <c r="G184" s="107">
        <f t="shared" si="80"/>
        <v>0</v>
      </c>
      <c r="H184" s="107">
        <f t="shared" si="80"/>
        <v>0</v>
      </c>
      <c r="I184" s="107">
        <f t="shared" si="80"/>
        <v>0</v>
      </c>
      <c r="J184" s="107">
        <f t="shared" si="80"/>
        <v>0</v>
      </c>
      <c r="K184" s="107">
        <f t="shared" si="80"/>
        <v>0</v>
      </c>
      <c r="L184" s="107">
        <f t="shared" si="80"/>
        <v>0</v>
      </c>
      <c r="M184" s="107">
        <f t="shared" si="80"/>
        <v>0</v>
      </c>
      <c r="N184" s="107">
        <f t="shared" si="80"/>
        <v>0</v>
      </c>
      <c r="P184" s="35"/>
      <c r="Q184" s="35"/>
      <c r="R184" s="35"/>
      <c r="S184" s="35"/>
      <c r="T184" s="35"/>
      <c r="U184" s="35"/>
      <c r="V184" s="35"/>
      <c r="W184" s="35"/>
      <c r="X184" s="35"/>
      <c r="Y184" s="35"/>
      <c r="Z184" s="35"/>
      <c r="AA184" s="35"/>
    </row>
    <row r="185" spans="1:27" x14ac:dyDescent="0.3">
      <c r="A185" s="4" t="str">
        <f t="shared" si="73"/>
        <v>TRANSFERS/OTHER</v>
      </c>
      <c r="B185" s="102">
        <v>0</v>
      </c>
      <c r="C185" s="107">
        <f t="shared" ref="C185:N185" si="81">IFERROR((+C49+C116)/(+$B49+$B116)*$B185,0)</f>
        <v>0</v>
      </c>
      <c r="D185" s="107">
        <f t="shared" si="81"/>
        <v>0</v>
      </c>
      <c r="E185" s="107">
        <f t="shared" si="81"/>
        <v>0</v>
      </c>
      <c r="F185" s="107">
        <f t="shared" si="81"/>
        <v>0</v>
      </c>
      <c r="G185" s="107">
        <f t="shared" si="81"/>
        <v>0</v>
      </c>
      <c r="H185" s="107">
        <f t="shared" si="81"/>
        <v>0</v>
      </c>
      <c r="I185" s="107">
        <f t="shared" si="81"/>
        <v>0</v>
      </c>
      <c r="J185" s="107">
        <f t="shared" si="81"/>
        <v>0</v>
      </c>
      <c r="K185" s="107">
        <f t="shared" si="81"/>
        <v>0</v>
      </c>
      <c r="L185" s="107">
        <f t="shared" si="81"/>
        <v>0</v>
      </c>
      <c r="M185" s="107">
        <f t="shared" si="81"/>
        <v>0</v>
      </c>
      <c r="N185" s="107">
        <f t="shared" si="81"/>
        <v>0</v>
      </c>
      <c r="P185" s="35"/>
      <c r="Q185" s="35"/>
      <c r="R185" s="35"/>
      <c r="S185" s="35"/>
      <c r="T185" s="35"/>
      <c r="U185" s="35"/>
      <c r="V185" s="35"/>
      <c r="W185" s="35"/>
      <c r="X185" s="35"/>
      <c r="Y185" s="35"/>
      <c r="Z185" s="35"/>
      <c r="AA185" s="35"/>
    </row>
    <row r="186" spans="1:27" x14ac:dyDescent="0.3">
      <c r="A186" s="4" t="str">
        <f t="shared" si="73"/>
        <v>MTGE/DEED/TAXES/FEES</v>
      </c>
      <c r="B186" s="102">
        <v>15723917</v>
      </c>
      <c r="C186" s="107">
        <f t="shared" ref="C186:N186" si="82">IFERROR((+C50+C117)/(+$B50+$B117)*$B186,0)</f>
        <v>1122266.1688904366</v>
      </c>
      <c r="D186" s="107">
        <f t="shared" si="82"/>
        <v>1110875.9518963306</v>
      </c>
      <c r="E186" s="107">
        <f t="shared" si="82"/>
        <v>934095.60537922417</v>
      </c>
      <c r="F186" s="107">
        <f t="shared" si="82"/>
        <v>1097513.6224283322</v>
      </c>
      <c r="G186" s="107">
        <f t="shared" si="82"/>
        <v>1112375.3923854386</v>
      </c>
      <c r="H186" s="107">
        <f t="shared" si="82"/>
        <v>2397616.6083717458</v>
      </c>
      <c r="I186" s="107">
        <f t="shared" si="82"/>
        <v>7644.6883952890485</v>
      </c>
      <c r="J186" s="107">
        <f t="shared" si="82"/>
        <v>2118929.1037224494</v>
      </c>
      <c r="K186" s="107">
        <f t="shared" si="82"/>
        <v>1635675.0020442579</v>
      </c>
      <c r="L186" s="107">
        <f t="shared" si="82"/>
        <v>1499665.3027607091</v>
      </c>
      <c r="M186" s="107">
        <f t="shared" si="82"/>
        <v>2047521.8351566198</v>
      </c>
      <c r="N186" s="107">
        <f t="shared" si="82"/>
        <v>639737.71856916661</v>
      </c>
      <c r="P186" s="35"/>
      <c r="Q186" s="35"/>
      <c r="R186" s="35"/>
      <c r="S186" s="35"/>
      <c r="T186" s="35"/>
      <c r="U186" s="35"/>
      <c r="V186" s="35"/>
      <c r="W186" s="35"/>
      <c r="X186" s="35"/>
      <c r="Y186" s="35"/>
      <c r="Z186" s="35"/>
      <c r="AA186" s="35"/>
    </row>
    <row r="187" spans="1:27" x14ac:dyDescent="0.3">
      <c r="A187" s="4" t="str">
        <f t="shared" si="73"/>
        <v>DEBT PYMTS</v>
      </c>
      <c r="B187" s="102">
        <v>16061980</v>
      </c>
      <c r="C187" s="107">
        <f t="shared" ref="C187:N187" si="83">IFERROR((+C51+C118)/(+$B51+$B118)*$B187,0)</f>
        <v>175379.8663562343</v>
      </c>
      <c r="D187" s="107">
        <f t="shared" si="83"/>
        <v>13691374.11849851</v>
      </c>
      <c r="E187" s="107">
        <f t="shared" si="83"/>
        <v>0</v>
      </c>
      <c r="F187" s="107">
        <f t="shared" si="83"/>
        <v>0</v>
      </c>
      <c r="G187" s="107">
        <f t="shared" si="83"/>
        <v>102718.29895195519</v>
      </c>
      <c r="H187" s="107">
        <f t="shared" si="83"/>
        <v>0</v>
      </c>
      <c r="I187" s="107">
        <f t="shared" si="83"/>
        <v>745191.66627070692</v>
      </c>
      <c r="J187" s="107">
        <f t="shared" si="83"/>
        <v>708021.65067660785</v>
      </c>
      <c r="K187" s="107">
        <f t="shared" si="83"/>
        <v>0</v>
      </c>
      <c r="L187" s="107">
        <f t="shared" si="83"/>
        <v>0</v>
      </c>
      <c r="M187" s="107">
        <f t="shared" si="83"/>
        <v>12677.850108197654</v>
      </c>
      <c r="N187" s="107">
        <f t="shared" si="83"/>
        <v>626616.54913778778</v>
      </c>
      <c r="P187" s="35"/>
      <c r="Q187" s="35"/>
      <c r="R187" s="35"/>
      <c r="S187" s="35"/>
      <c r="T187" s="35"/>
      <c r="U187" s="35"/>
      <c r="V187" s="35"/>
      <c r="W187" s="35"/>
      <c r="X187" s="35"/>
      <c r="Y187" s="35"/>
      <c r="Z187" s="35"/>
      <c r="AA187" s="35"/>
    </row>
    <row r="188" spans="1:27" x14ac:dyDescent="0.3">
      <c r="A188" s="4" t="str">
        <f t="shared" si="73"/>
        <v>TAX DISTRIBUTION PYMTS</v>
      </c>
      <c r="B188" s="102">
        <v>409462482</v>
      </c>
      <c r="C188" s="107">
        <f t="shared" ref="C188:N188" si="84">IFERROR((+C52+C119)/(+$B52+$B119)*$B188,0)</f>
        <v>2671411.0895412788</v>
      </c>
      <c r="D188" s="107">
        <f t="shared" si="84"/>
        <v>0</v>
      </c>
      <c r="E188" s="107">
        <f t="shared" si="84"/>
        <v>314751.44874392851</v>
      </c>
      <c r="F188" s="107">
        <f t="shared" si="84"/>
        <v>0</v>
      </c>
      <c r="G188" s="107">
        <f t="shared" si="84"/>
        <v>46616656.116462216</v>
      </c>
      <c r="H188" s="107">
        <f t="shared" si="84"/>
        <v>72635661.1583516</v>
      </c>
      <c r="I188" s="107">
        <f t="shared" si="84"/>
        <v>99928101.192649186</v>
      </c>
      <c r="J188" s="107">
        <f t="shared" si="84"/>
        <v>0</v>
      </c>
      <c r="K188" s="107">
        <f t="shared" si="84"/>
        <v>0</v>
      </c>
      <c r="L188" s="107">
        <f t="shared" si="84"/>
        <v>41292157.918536186</v>
      </c>
      <c r="M188" s="107">
        <f t="shared" si="84"/>
        <v>93303850.465697378</v>
      </c>
      <c r="N188" s="107">
        <f t="shared" si="84"/>
        <v>52699892.610018238</v>
      </c>
      <c r="P188" s="35"/>
      <c r="Q188" s="35"/>
      <c r="R188" s="35"/>
      <c r="S188" s="35"/>
      <c r="T188" s="35"/>
      <c r="U188" s="35"/>
      <c r="V188" s="35"/>
      <c r="W188" s="35"/>
      <c r="X188" s="35"/>
      <c r="Y188" s="35"/>
      <c r="Z188" s="35"/>
      <c r="AA188" s="35"/>
    </row>
    <row r="189" spans="1:27" x14ac:dyDescent="0.3">
      <c r="A189" s="4" t="str">
        <f t="shared" si="73"/>
        <v xml:space="preserve">INVESTMENT PURCHASES </v>
      </c>
      <c r="B189" s="102">
        <v>28633628</v>
      </c>
      <c r="C189" s="107">
        <f t="shared" ref="C189:N189" si="85">IFERROR((+C53+C120)/(+$B53+$B120)*$B189,0)</f>
        <v>4206025.1484620199</v>
      </c>
      <c r="D189" s="107">
        <f t="shared" si="85"/>
        <v>1549528.0672515698</v>
      </c>
      <c r="E189" s="107">
        <f t="shared" si="85"/>
        <v>464858.42017547094</v>
      </c>
      <c r="F189" s="107">
        <f t="shared" si="85"/>
        <v>2033152.3151538468</v>
      </c>
      <c r="G189" s="107">
        <f t="shared" si="85"/>
        <v>3187228.8200974627</v>
      </c>
      <c r="H189" s="107">
        <f t="shared" si="85"/>
        <v>4005548.504076005</v>
      </c>
      <c r="I189" s="107">
        <f t="shared" si="85"/>
        <v>1953138.3333500458</v>
      </c>
      <c r="J189" s="107">
        <f t="shared" si="85"/>
        <v>1595650.2024916438</v>
      </c>
      <c r="K189" s="107">
        <f t="shared" si="85"/>
        <v>1849315.7706679369</v>
      </c>
      <c r="L189" s="107">
        <f t="shared" si="85"/>
        <v>4162629.5659081391</v>
      </c>
      <c r="M189" s="107">
        <f t="shared" si="85"/>
        <v>901784.40590604534</v>
      </c>
      <c r="N189" s="107">
        <f t="shared" si="85"/>
        <v>2724768.446459814</v>
      </c>
      <c r="P189" s="35"/>
      <c r="Q189" s="35"/>
      <c r="R189" s="35"/>
      <c r="S189" s="35"/>
      <c r="T189" s="35"/>
      <c r="U189" s="35"/>
      <c r="V189" s="35"/>
      <c r="W189" s="35"/>
      <c r="X189" s="35"/>
      <c r="Y189" s="35"/>
      <c r="Z189" s="35"/>
      <c r="AA189" s="35"/>
    </row>
    <row r="190" spans="1:27" x14ac:dyDescent="0.3">
      <c r="A190" s="4" t="str">
        <f t="shared" si="73"/>
        <v>OTHER EXPENSES/USES</v>
      </c>
      <c r="B190" s="102"/>
      <c r="C190" s="107">
        <f t="shared" ref="C190:N190" si="86">IFERROR((+C54+C121)/(+$B54+$B121)*$B190,0)</f>
        <v>0</v>
      </c>
      <c r="D190" s="107">
        <f t="shared" si="86"/>
        <v>0</v>
      </c>
      <c r="E190" s="107">
        <f t="shared" si="86"/>
        <v>0</v>
      </c>
      <c r="F190" s="107">
        <f t="shared" si="86"/>
        <v>0</v>
      </c>
      <c r="G190" s="107">
        <f t="shared" si="86"/>
        <v>0</v>
      </c>
      <c r="H190" s="107">
        <f t="shared" si="86"/>
        <v>0</v>
      </c>
      <c r="I190" s="107">
        <f t="shared" si="86"/>
        <v>0</v>
      </c>
      <c r="J190" s="107">
        <f t="shared" si="86"/>
        <v>0</v>
      </c>
      <c r="K190" s="107">
        <f t="shared" si="86"/>
        <v>0</v>
      </c>
      <c r="L190" s="107">
        <f t="shared" si="86"/>
        <v>0</v>
      </c>
      <c r="M190" s="107">
        <f t="shared" si="86"/>
        <v>0</v>
      </c>
      <c r="N190" s="107">
        <f t="shared" si="86"/>
        <v>0</v>
      </c>
      <c r="P190" s="35"/>
      <c r="Q190" s="35"/>
      <c r="R190" s="35"/>
      <c r="S190" s="35"/>
      <c r="T190" s="35"/>
      <c r="U190" s="35"/>
      <c r="V190" s="35"/>
      <c r="W190" s="35"/>
      <c r="X190" s="35"/>
      <c r="Y190" s="35"/>
      <c r="Z190" s="35"/>
      <c r="AA190" s="35"/>
    </row>
    <row r="191" spans="1:27" x14ac:dyDescent="0.3">
      <c r="A191" s="4" t="str">
        <f t="shared" si="73"/>
        <v>OTHER EXPENSES/USES</v>
      </c>
      <c r="B191" s="102"/>
      <c r="C191" s="107">
        <f t="shared" ref="C191:N191" si="87">IFERROR((+C55+C122)/(+$B55+$B122)*$B191,0)</f>
        <v>0</v>
      </c>
      <c r="D191" s="107">
        <f t="shared" si="87"/>
        <v>0</v>
      </c>
      <c r="E191" s="107">
        <f t="shared" si="87"/>
        <v>0</v>
      </c>
      <c r="F191" s="107">
        <f t="shared" si="87"/>
        <v>0</v>
      </c>
      <c r="G191" s="107">
        <f t="shared" si="87"/>
        <v>0</v>
      </c>
      <c r="H191" s="107">
        <f t="shared" si="87"/>
        <v>0</v>
      </c>
      <c r="I191" s="107">
        <f t="shared" si="87"/>
        <v>0</v>
      </c>
      <c r="J191" s="107">
        <f t="shared" si="87"/>
        <v>0</v>
      </c>
      <c r="K191" s="107">
        <f t="shared" si="87"/>
        <v>0</v>
      </c>
      <c r="L191" s="107">
        <f t="shared" si="87"/>
        <v>0</v>
      </c>
      <c r="M191" s="107">
        <f t="shared" si="87"/>
        <v>0</v>
      </c>
      <c r="N191" s="107">
        <f t="shared" si="87"/>
        <v>0</v>
      </c>
      <c r="P191" s="35"/>
      <c r="Q191" s="35"/>
      <c r="R191" s="35"/>
      <c r="S191" s="35"/>
      <c r="T191" s="35"/>
      <c r="U191" s="35"/>
      <c r="V191" s="35"/>
      <c r="W191" s="35"/>
      <c r="X191" s="35"/>
      <c r="Y191" s="35"/>
      <c r="Z191" s="35"/>
      <c r="AA191" s="35"/>
    </row>
    <row r="192" spans="1:27" x14ac:dyDescent="0.3">
      <c r="A192" s="4" t="str">
        <f t="shared" si="73"/>
        <v>OTHER EXPENSES/USES</v>
      </c>
      <c r="B192" s="102"/>
      <c r="C192" s="107">
        <f t="shared" ref="C192:N192" si="88">IFERROR((+C56+C123)/(+$B56+$B123)*$B192,0)</f>
        <v>0</v>
      </c>
      <c r="D192" s="107">
        <f t="shared" si="88"/>
        <v>0</v>
      </c>
      <c r="E192" s="107">
        <f t="shared" si="88"/>
        <v>0</v>
      </c>
      <c r="F192" s="107">
        <f t="shared" si="88"/>
        <v>0</v>
      </c>
      <c r="G192" s="107">
        <f t="shared" si="88"/>
        <v>0</v>
      </c>
      <c r="H192" s="107">
        <f t="shared" si="88"/>
        <v>0</v>
      </c>
      <c r="I192" s="107">
        <f t="shared" si="88"/>
        <v>0</v>
      </c>
      <c r="J192" s="107">
        <f t="shared" si="88"/>
        <v>0</v>
      </c>
      <c r="K192" s="107">
        <f t="shared" si="88"/>
        <v>0</v>
      </c>
      <c r="L192" s="107">
        <f t="shared" si="88"/>
        <v>0</v>
      </c>
      <c r="M192" s="107">
        <f t="shared" si="88"/>
        <v>0</v>
      </c>
      <c r="N192" s="107">
        <f t="shared" si="88"/>
        <v>0</v>
      </c>
      <c r="P192" s="35"/>
      <c r="Q192" s="35"/>
      <c r="R192" s="35"/>
      <c r="S192" s="35"/>
      <c r="T192" s="35"/>
      <c r="U192" s="35"/>
      <c r="V192" s="35"/>
      <c r="W192" s="35"/>
      <c r="X192" s="35"/>
      <c r="Y192" s="35"/>
      <c r="Z192" s="35"/>
      <c r="AA192" s="35"/>
    </row>
    <row r="193" spans="1:27" x14ac:dyDescent="0.3">
      <c r="A193" s="4" t="str">
        <f t="shared" ref="A193:A206" si="89">A57</f>
        <v>OTHER EXPENSES/USES</v>
      </c>
      <c r="B193" s="102"/>
      <c r="C193" s="107">
        <f t="shared" ref="C193:N193" si="90">IFERROR((+C57+C124)/(+$B57+$B124)*$B193,0)</f>
        <v>0</v>
      </c>
      <c r="D193" s="107">
        <f t="shared" si="90"/>
        <v>0</v>
      </c>
      <c r="E193" s="107">
        <f t="shared" si="90"/>
        <v>0</v>
      </c>
      <c r="F193" s="107">
        <f t="shared" si="90"/>
        <v>0</v>
      </c>
      <c r="G193" s="107">
        <f t="shared" si="90"/>
        <v>0</v>
      </c>
      <c r="H193" s="107">
        <f t="shared" si="90"/>
        <v>0</v>
      </c>
      <c r="I193" s="107">
        <f t="shared" si="90"/>
        <v>0</v>
      </c>
      <c r="J193" s="107">
        <f t="shared" si="90"/>
        <v>0</v>
      </c>
      <c r="K193" s="107">
        <f t="shared" si="90"/>
        <v>0</v>
      </c>
      <c r="L193" s="107">
        <f t="shared" si="90"/>
        <v>0</v>
      </c>
      <c r="M193" s="107">
        <f t="shared" si="90"/>
        <v>0</v>
      </c>
      <c r="N193" s="107">
        <f t="shared" si="90"/>
        <v>0</v>
      </c>
      <c r="P193" s="35"/>
      <c r="Q193" s="35"/>
      <c r="R193" s="35"/>
      <c r="S193" s="35"/>
      <c r="T193" s="35"/>
      <c r="U193" s="35"/>
      <c r="V193" s="35"/>
      <c r="W193" s="35"/>
      <c r="X193" s="35"/>
      <c r="Y193" s="35"/>
      <c r="Z193" s="35"/>
      <c r="AA193" s="35"/>
    </row>
    <row r="194" spans="1:27" x14ac:dyDescent="0.3">
      <c r="A194" s="4" t="str">
        <f t="shared" si="89"/>
        <v>OTHER EXPENSES/USES</v>
      </c>
      <c r="B194" s="102"/>
      <c r="C194" s="107">
        <f t="shared" ref="C194:N194" si="91">IFERROR((+C58+C125)/(+$B58+$B125)*$B194,0)</f>
        <v>0</v>
      </c>
      <c r="D194" s="107">
        <f t="shared" si="91"/>
        <v>0</v>
      </c>
      <c r="E194" s="107">
        <f t="shared" si="91"/>
        <v>0</v>
      </c>
      <c r="F194" s="107">
        <f t="shared" si="91"/>
        <v>0</v>
      </c>
      <c r="G194" s="107">
        <f t="shared" si="91"/>
        <v>0</v>
      </c>
      <c r="H194" s="107">
        <f t="shared" si="91"/>
        <v>0</v>
      </c>
      <c r="I194" s="107">
        <f t="shared" si="91"/>
        <v>0</v>
      </c>
      <c r="J194" s="107">
        <f t="shared" si="91"/>
        <v>0</v>
      </c>
      <c r="K194" s="107">
        <f t="shared" si="91"/>
        <v>0</v>
      </c>
      <c r="L194" s="107">
        <f t="shared" si="91"/>
        <v>0</v>
      </c>
      <c r="M194" s="107">
        <f t="shared" si="91"/>
        <v>0</v>
      </c>
      <c r="N194" s="107">
        <f t="shared" si="91"/>
        <v>0</v>
      </c>
      <c r="P194" s="35"/>
      <c r="Q194" s="35"/>
      <c r="R194" s="35"/>
      <c r="S194" s="35"/>
      <c r="T194" s="35"/>
      <c r="U194" s="35"/>
      <c r="V194" s="35"/>
      <c r="W194" s="35"/>
      <c r="X194" s="35"/>
      <c r="Y194" s="35"/>
      <c r="Z194" s="35"/>
      <c r="AA194" s="35"/>
    </row>
    <row r="195" spans="1:27" x14ac:dyDescent="0.3">
      <c r="A195" s="4" t="str">
        <f t="shared" si="89"/>
        <v>OTHER EXPENSES/USES</v>
      </c>
      <c r="B195" s="102"/>
      <c r="C195" s="107">
        <f t="shared" ref="C195:N195" si="92">IFERROR((+C59+C126)/(+$B59+$B126)*$B195,0)</f>
        <v>0</v>
      </c>
      <c r="D195" s="107">
        <f t="shared" si="92"/>
        <v>0</v>
      </c>
      <c r="E195" s="107">
        <f t="shared" si="92"/>
        <v>0</v>
      </c>
      <c r="F195" s="107">
        <f t="shared" si="92"/>
        <v>0</v>
      </c>
      <c r="G195" s="107">
        <f t="shared" si="92"/>
        <v>0</v>
      </c>
      <c r="H195" s="107">
        <f t="shared" si="92"/>
        <v>0</v>
      </c>
      <c r="I195" s="107">
        <f t="shared" si="92"/>
        <v>0</v>
      </c>
      <c r="J195" s="107">
        <f t="shared" si="92"/>
        <v>0</v>
      </c>
      <c r="K195" s="107">
        <f t="shared" si="92"/>
        <v>0</v>
      </c>
      <c r="L195" s="107">
        <f t="shared" si="92"/>
        <v>0</v>
      </c>
      <c r="M195" s="107">
        <f t="shared" si="92"/>
        <v>0</v>
      </c>
      <c r="N195" s="107">
        <f t="shared" si="92"/>
        <v>0</v>
      </c>
      <c r="P195" s="35"/>
      <c r="Q195" s="35"/>
      <c r="R195" s="35"/>
      <c r="S195" s="35"/>
      <c r="T195" s="35"/>
      <c r="U195" s="35"/>
      <c r="V195" s="35"/>
      <c r="W195" s="35"/>
      <c r="X195" s="35"/>
      <c r="Y195" s="35"/>
      <c r="Z195" s="35"/>
      <c r="AA195" s="35"/>
    </row>
    <row r="196" spans="1:27" x14ac:dyDescent="0.3">
      <c r="A196" s="4" t="str">
        <f t="shared" si="89"/>
        <v>OTHER EXPENSES/USES</v>
      </c>
      <c r="B196" s="102"/>
      <c r="C196" s="107">
        <f t="shared" ref="C196:N196" si="93">IFERROR((+C60+C127)/(+$B60+$B127)*$B196,0)</f>
        <v>0</v>
      </c>
      <c r="D196" s="107">
        <f t="shared" si="93"/>
        <v>0</v>
      </c>
      <c r="E196" s="107">
        <f t="shared" si="93"/>
        <v>0</v>
      </c>
      <c r="F196" s="107">
        <f t="shared" si="93"/>
        <v>0</v>
      </c>
      <c r="G196" s="107">
        <f t="shared" si="93"/>
        <v>0</v>
      </c>
      <c r="H196" s="107">
        <f t="shared" si="93"/>
        <v>0</v>
      </c>
      <c r="I196" s="107">
        <f t="shared" si="93"/>
        <v>0</v>
      </c>
      <c r="J196" s="107">
        <f t="shared" si="93"/>
        <v>0</v>
      </c>
      <c r="K196" s="107">
        <f t="shared" si="93"/>
        <v>0</v>
      </c>
      <c r="L196" s="107">
        <f t="shared" si="93"/>
        <v>0</v>
      </c>
      <c r="M196" s="107">
        <f t="shared" si="93"/>
        <v>0</v>
      </c>
      <c r="N196" s="107">
        <f t="shared" si="93"/>
        <v>0</v>
      </c>
      <c r="P196" s="35"/>
      <c r="Q196" s="35"/>
      <c r="R196" s="35"/>
      <c r="S196" s="35"/>
      <c r="T196" s="35"/>
      <c r="U196" s="35"/>
      <c r="V196" s="35"/>
      <c r="W196" s="35"/>
      <c r="X196" s="35"/>
      <c r="Y196" s="35"/>
      <c r="Z196" s="35"/>
      <c r="AA196" s="35"/>
    </row>
    <row r="197" spans="1:27" x14ac:dyDescent="0.3">
      <c r="A197" s="4" t="str">
        <f t="shared" si="89"/>
        <v>OTHER EXPENSES/USES</v>
      </c>
      <c r="B197" s="102"/>
      <c r="C197" s="107">
        <f t="shared" ref="C197:N197" si="94">IFERROR((+C61+C128)/(+$B61+$B128)*$B197,0)</f>
        <v>0</v>
      </c>
      <c r="D197" s="107">
        <f t="shared" si="94"/>
        <v>0</v>
      </c>
      <c r="E197" s="107">
        <f t="shared" si="94"/>
        <v>0</v>
      </c>
      <c r="F197" s="107">
        <f t="shared" si="94"/>
        <v>0</v>
      </c>
      <c r="G197" s="107">
        <f t="shared" si="94"/>
        <v>0</v>
      </c>
      <c r="H197" s="107">
        <f t="shared" si="94"/>
        <v>0</v>
      </c>
      <c r="I197" s="107">
        <f t="shared" si="94"/>
        <v>0</v>
      </c>
      <c r="J197" s="107">
        <f t="shared" si="94"/>
        <v>0</v>
      </c>
      <c r="K197" s="107">
        <f t="shared" si="94"/>
        <v>0</v>
      </c>
      <c r="L197" s="107">
        <f t="shared" si="94"/>
        <v>0</v>
      </c>
      <c r="M197" s="107">
        <f t="shared" si="94"/>
        <v>0</v>
      </c>
      <c r="N197" s="107">
        <f t="shared" si="94"/>
        <v>0</v>
      </c>
      <c r="P197" s="35"/>
      <c r="Q197" s="35"/>
      <c r="R197" s="35"/>
      <c r="S197" s="35"/>
      <c r="T197" s="35"/>
      <c r="U197" s="35"/>
      <c r="V197" s="35"/>
      <c r="W197" s="35"/>
      <c r="X197" s="35"/>
      <c r="Y197" s="35"/>
      <c r="Z197" s="35"/>
      <c r="AA197" s="35"/>
    </row>
    <row r="198" spans="1:27" x14ac:dyDescent="0.3">
      <c r="A198" s="4" t="str">
        <f t="shared" si="89"/>
        <v>OTHER EXPENSES/USES</v>
      </c>
      <c r="B198" s="102"/>
      <c r="C198" s="107">
        <f t="shared" ref="C198:N198" si="95">IFERROR((+C62+C129)/(+$B62+$B129)*$B198,0)</f>
        <v>0</v>
      </c>
      <c r="D198" s="107">
        <f t="shared" si="95"/>
        <v>0</v>
      </c>
      <c r="E198" s="107">
        <f t="shared" si="95"/>
        <v>0</v>
      </c>
      <c r="F198" s="107">
        <f t="shared" si="95"/>
        <v>0</v>
      </c>
      <c r="G198" s="107">
        <f t="shared" si="95"/>
        <v>0</v>
      </c>
      <c r="H198" s="107">
        <f t="shared" si="95"/>
        <v>0</v>
      </c>
      <c r="I198" s="107">
        <f t="shared" si="95"/>
        <v>0</v>
      </c>
      <c r="J198" s="107">
        <f t="shared" si="95"/>
        <v>0</v>
      </c>
      <c r="K198" s="107">
        <f t="shared" si="95"/>
        <v>0</v>
      </c>
      <c r="L198" s="107">
        <f t="shared" si="95"/>
        <v>0</v>
      </c>
      <c r="M198" s="107">
        <f t="shared" si="95"/>
        <v>0</v>
      </c>
      <c r="N198" s="107">
        <f t="shared" si="95"/>
        <v>0</v>
      </c>
      <c r="P198" s="35"/>
      <c r="Q198" s="35"/>
      <c r="R198" s="35"/>
      <c r="S198" s="35"/>
      <c r="T198" s="35"/>
      <c r="U198" s="35"/>
      <c r="V198" s="35"/>
      <c r="W198" s="35"/>
      <c r="X198" s="35"/>
      <c r="Y198" s="35"/>
      <c r="Z198" s="35"/>
      <c r="AA198" s="35"/>
    </row>
    <row r="199" spans="1:27" x14ac:dyDescent="0.3">
      <c r="A199" s="4" t="str">
        <f t="shared" si="89"/>
        <v>OTHER EXPENSES/USES</v>
      </c>
      <c r="B199" s="102"/>
      <c r="C199" s="107">
        <f t="shared" ref="C199:N199" si="96">IFERROR((+C63+C130)/(+$B63+$B130)*$B199,0)</f>
        <v>0</v>
      </c>
      <c r="D199" s="107">
        <f t="shared" si="96"/>
        <v>0</v>
      </c>
      <c r="E199" s="107">
        <f t="shared" si="96"/>
        <v>0</v>
      </c>
      <c r="F199" s="107">
        <f t="shared" si="96"/>
        <v>0</v>
      </c>
      <c r="G199" s="107">
        <f t="shared" si="96"/>
        <v>0</v>
      </c>
      <c r="H199" s="107">
        <f t="shared" si="96"/>
        <v>0</v>
      </c>
      <c r="I199" s="107">
        <f t="shared" si="96"/>
        <v>0</v>
      </c>
      <c r="J199" s="107">
        <f t="shared" si="96"/>
        <v>0</v>
      </c>
      <c r="K199" s="107">
        <f t="shared" si="96"/>
        <v>0</v>
      </c>
      <c r="L199" s="107">
        <f t="shared" si="96"/>
        <v>0</v>
      </c>
      <c r="M199" s="107">
        <f t="shared" si="96"/>
        <v>0</v>
      </c>
      <c r="N199" s="107">
        <f t="shared" si="96"/>
        <v>0</v>
      </c>
      <c r="P199" s="35"/>
      <c r="Q199" s="35"/>
      <c r="R199" s="35"/>
      <c r="S199" s="35"/>
      <c r="T199" s="35"/>
      <c r="U199" s="35"/>
      <c r="V199" s="35"/>
      <c r="W199" s="35"/>
      <c r="X199" s="35"/>
      <c r="Y199" s="35"/>
      <c r="Z199" s="35"/>
      <c r="AA199" s="35"/>
    </row>
    <row r="200" spans="1:27" x14ac:dyDescent="0.3">
      <c r="A200" s="4" t="str">
        <f t="shared" si="89"/>
        <v>OTHER EXPENSES/USES</v>
      </c>
      <c r="B200" s="102"/>
      <c r="C200" s="107">
        <f t="shared" ref="C200:N200" si="97">IFERROR((+C64+C131)/(+$B64+$B131)*$B200,0)</f>
        <v>0</v>
      </c>
      <c r="D200" s="107">
        <f t="shared" si="97"/>
        <v>0</v>
      </c>
      <c r="E200" s="107">
        <f t="shared" si="97"/>
        <v>0</v>
      </c>
      <c r="F200" s="107">
        <f t="shared" si="97"/>
        <v>0</v>
      </c>
      <c r="G200" s="107">
        <f t="shared" si="97"/>
        <v>0</v>
      </c>
      <c r="H200" s="107">
        <f t="shared" si="97"/>
        <v>0</v>
      </c>
      <c r="I200" s="107">
        <f t="shared" si="97"/>
        <v>0</v>
      </c>
      <c r="J200" s="107">
        <f t="shared" si="97"/>
        <v>0</v>
      </c>
      <c r="K200" s="107">
        <f t="shared" si="97"/>
        <v>0</v>
      </c>
      <c r="L200" s="107">
        <f t="shared" si="97"/>
        <v>0</v>
      </c>
      <c r="M200" s="107">
        <f t="shared" si="97"/>
        <v>0</v>
      </c>
      <c r="N200" s="107">
        <f t="shared" si="97"/>
        <v>0</v>
      </c>
      <c r="P200" s="35"/>
      <c r="Q200" s="35"/>
      <c r="R200" s="35"/>
      <c r="S200" s="35"/>
      <c r="T200" s="35"/>
      <c r="U200" s="35"/>
      <c r="V200" s="35"/>
      <c r="W200" s="35"/>
      <c r="X200" s="35"/>
      <c r="Y200" s="35"/>
      <c r="Z200" s="35"/>
      <c r="AA200" s="35"/>
    </row>
    <row r="201" spans="1:27" x14ac:dyDescent="0.3">
      <c r="A201" s="4" t="str">
        <f t="shared" si="89"/>
        <v>OTHER EXPENSES/USES</v>
      </c>
      <c r="B201" s="102"/>
      <c r="C201" s="107">
        <f t="shared" ref="C201:N201" si="98">IFERROR((+C65+C132)/(+$B65+$B132)*$B201,0)</f>
        <v>0</v>
      </c>
      <c r="D201" s="107">
        <f t="shared" si="98"/>
        <v>0</v>
      </c>
      <c r="E201" s="107">
        <f t="shared" si="98"/>
        <v>0</v>
      </c>
      <c r="F201" s="107">
        <f t="shared" si="98"/>
        <v>0</v>
      </c>
      <c r="G201" s="107">
        <f t="shared" si="98"/>
        <v>0</v>
      </c>
      <c r="H201" s="107">
        <f t="shared" si="98"/>
        <v>0</v>
      </c>
      <c r="I201" s="107">
        <f t="shared" si="98"/>
        <v>0</v>
      </c>
      <c r="J201" s="107">
        <f t="shared" si="98"/>
        <v>0</v>
      </c>
      <c r="K201" s="107">
        <f t="shared" si="98"/>
        <v>0</v>
      </c>
      <c r="L201" s="107">
        <f t="shared" si="98"/>
        <v>0</v>
      </c>
      <c r="M201" s="107">
        <f t="shared" si="98"/>
        <v>0</v>
      </c>
      <c r="N201" s="107">
        <f t="shared" si="98"/>
        <v>0</v>
      </c>
      <c r="P201" s="35"/>
      <c r="Q201" s="35"/>
      <c r="R201" s="35"/>
      <c r="S201" s="35"/>
      <c r="T201" s="35"/>
      <c r="U201" s="35"/>
      <c r="V201" s="35"/>
      <c r="W201" s="35"/>
      <c r="X201" s="35"/>
      <c r="Y201" s="35"/>
      <c r="Z201" s="35"/>
      <c r="AA201" s="35"/>
    </row>
    <row r="202" spans="1:27" x14ac:dyDescent="0.3">
      <c r="A202" s="4" t="str">
        <f t="shared" si="89"/>
        <v>OTHER EXPENSES/USES</v>
      </c>
      <c r="B202" s="102"/>
      <c r="C202" s="107">
        <f t="shared" ref="C202:N202" si="99">IFERROR((+C66+C133)/(+$B66+$B133)*$B202,0)</f>
        <v>0</v>
      </c>
      <c r="D202" s="107">
        <f t="shared" si="99"/>
        <v>0</v>
      </c>
      <c r="E202" s="107">
        <f t="shared" si="99"/>
        <v>0</v>
      </c>
      <c r="F202" s="107">
        <f t="shared" si="99"/>
        <v>0</v>
      </c>
      <c r="G202" s="107">
        <f t="shared" si="99"/>
        <v>0</v>
      </c>
      <c r="H202" s="107">
        <f t="shared" si="99"/>
        <v>0</v>
      </c>
      <c r="I202" s="107">
        <f t="shared" si="99"/>
        <v>0</v>
      </c>
      <c r="J202" s="107">
        <f t="shared" si="99"/>
        <v>0</v>
      </c>
      <c r="K202" s="107">
        <f t="shared" si="99"/>
        <v>0</v>
      </c>
      <c r="L202" s="107">
        <f t="shared" si="99"/>
        <v>0</v>
      </c>
      <c r="M202" s="107">
        <f t="shared" si="99"/>
        <v>0</v>
      </c>
      <c r="N202" s="107">
        <f t="shared" si="99"/>
        <v>0</v>
      </c>
      <c r="P202" s="35"/>
      <c r="Q202" s="35"/>
      <c r="R202" s="35"/>
      <c r="S202" s="35"/>
      <c r="T202" s="35"/>
      <c r="U202" s="35"/>
      <c r="V202" s="35"/>
      <c r="W202" s="35"/>
      <c r="X202" s="35"/>
      <c r="Y202" s="35"/>
      <c r="Z202" s="35"/>
      <c r="AA202" s="35"/>
    </row>
    <row r="203" spans="1:27" x14ac:dyDescent="0.3">
      <c r="A203" s="4" t="str">
        <f t="shared" si="89"/>
        <v>OTHER EXPENSES/USES</v>
      </c>
      <c r="B203" s="102"/>
      <c r="C203" s="107">
        <f t="shared" ref="C203:N203" si="100">IFERROR((+C67+C134)/(+$B67+$B134)*$B203,0)</f>
        <v>0</v>
      </c>
      <c r="D203" s="107">
        <f t="shared" si="100"/>
        <v>0</v>
      </c>
      <c r="E203" s="107">
        <f t="shared" si="100"/>
        <v>0</v>
      </c>
      <c r="F203" s="107">
        <f t="shared" si="100"/>
        <v>0</v>
      </c>
      <c r="G203" s="107">
        <f t="shared" si="100"/>
        <v>0</v>
      </c>
      <c r="H203" s="107">
        <f t="shared" si="100"/>
        <v>0</v>
      </c>
      <c r="I203" s="107">
        <f t="shared" si="100"/>
        <v>0</v>
      </c>
      <c r="J203" s="107">
        <f t="shared" si="100"/>
        <v>0</v>
      </c>
      <c r="K203" s="107">
        <f t="shared" si="100"/>
        <v>0</v>
      </c>
      <c r="L203" s="107">
        <f t="shared" si="100"/>
        <v>0</v>
      </c>
      <c r="M203" s="107">
        <f t="shared" si="100"/>
        <v>0</v>
      </c>
      <c r="N203" s="107">
        <f t="shared" si="100"/>
        <v>0</v>
      </c>
      <c r="P203" s="35"/>
      <c r="Q203" s="35"/>
      <c r="R203" s="35"/>
      <c r="S203" s="35"/>
      <c r="T203" s="35"/>
      <c r="U203" s="35"/>
      <c r="V203" s="35"/>
      <c r="W203" s="35"/>
      <c r="X203" s="35"/>
      <c r="Y203" s="35"/>
      <c r="Z203" s="35"/>
      <c r="AA203" s="35"/>
    </row>
    <row r="204" spans="1:27" x14ac:dyDescent="0.3">
      <c r="A204" s="4" t="str">
        <f t="shared" si="89"/>
        <v>OTHER EXPENSES/USES</v>
      </c>
      <c r="B204" s="102"/>
      <c r="C204" s="107">
        <f t="shared" ref="C204:N204" si="101">IFERROR((+C68+C135)/(+$B68+$B135)*$B204,0)</f>
        <v>0</v>
      </c>
      <c r="D204" s="107">
        <f t="shared" si="101"/>
        <v>0</v>
      </c>
      <c r="E204" s="107">
        <f t="shared" si="101"/>
        <v>0</v>
      </c>
      <c r="F204" s="107">
        <f t="shared" si="101"/>
        <v>0</v>
      </c>
      <c r="G204" s="107">
        <f t="shared" si="101"/>
        <v>0</v>
      </c>
      <c r="H204" s="107">
        <f t="shared" si="101"/>
        <v>0</v>
      </c>
      <c r="I204" s="107">
        <f t="shared" si="101"/>
        <v>0</v>
      </c>
      <c r="J204" s="107">
        <f t="shared" si="101"/>
        <v>0</v>
      </c>
      <c r="K204" s="107">
        <f t="shared" si="101"/>
        <v>0</v>
      </c>
      <c r="L204" s="107">
        <f t="shared" si="101"/>
        <v>0</v>
      </c>
      <c r="M204" s="107">
        <f t="shared" si="101"/>
        <v>0</v>
      </c>
      <c r="N204" s="107">
        <f t="shared" si="101"/>
        <v>0</v>
      </c>
      <c r="P204" s="35"/>
      <c r="Q204" s="35"/>
      <c r="R204" s="35"/>
      <c r="S204" s="35"/>
      <c r="T204" s="35"/>
      <c r="U204" s="35"/>
      <c r="V204" s="35"/>
      <c r="W204" s="35"/>
      <c r="X204" s="35"/>
      <c r="Y204" s="35"/>
      <c r="Z204" s="35"/>
      <c r="AA204" s="35"/>
    </row>
    <row r="205" spans="1:27" x14ac:dyDescent="0.3">
      <c r="A205" s="4" t="str">
        <f t="shared" si="89"/>
        <v>OTHER EXPENSES/USES</v>
      </c>
      <c r="B205" s="102"/>
      <c r="C205" s="107">
        <f t="shared" ref="C205:N205" si="102">IFERROR((+C69+C136)/(+$B69+$B136)*$B205,0)</f>
        <v>0</v>
      </c>
      <c r="D205" s="107">
        <f t="shared" si="102"/>
        <v>0</v>
      </c>
      <c r="E205" s="107">
        <f t="shared" si="102"/>
        <v>0</v>
      </c>
      <c r="F205" s="107">
        <f t="shared" si="102"/>
        <v>0</v>
      </c>
      <c r="G205" s="107">
        <f t="shared" si="102"/>
        <v>0</v>
      </c>
      <c r="H205" s="107">
        <f t="shared" si="102"/>
        <v>0</v>
      </c>
      <c r="I205" s="107">
        <f t="shared" si="102"/>
        <v>0</v>
      </c>
      <c r="J205" s="107">
        <f t="shared" si="102"/>
        <v>0</v>
      </c>
      <c r="K205" s="107">
        <f t="shared" si="102"/>
        <v>0</v>
      </c>
      <c r="L205" s="107">
        <f t="shared" si="102"/>
        <v>0</v>
      </c>
      <c r="M205" s="107">
        <f t="shared" si="102"/>
        <v>0</v>
      </c>
      <c r="N205" s="107">
        <f t="shared" si="102"/>
        <v>0</v>
      </c>
      <c r="P205" s="35"/>
      <c r="Q205" s="35"/>
      <c r="R205" s="35"/>
      <c r="S205" s="35"/>
      <c r="T205" s="35"/>
      <c r="U205" s="35"/>
      <c r="V205" s="35"/>
      <c r="W205" s="35"/>
      <c r="X205" s="35"/>
      <c r="Y205" s="35"/>
      <c r="Z205" s="35"/>
      <c r="AA205" s="35"/>
    </row>
    <row r="206" spans="1:27" x14ac:dyDescent="0.3">
      <c r="A206" s="4" t="str">
        <f t="shared" si="89"/>
        <v>OTHER EXPENSES/USES</v>
      </c>
      <c r="B206" s="102"/>
      <c r="C206" s="107">
        <f t="shared" ref="C206:N206" si="103">IFERROR((+C70+C137)/(+$B70+$B137)*$B206,0)</f>
        <v>0</v>
      </c>
      <c r="D206" s="107">
        <f t="shared" si="103"/>
        <v>0</v>
      </c>
      <c r="E206" s="107">
        <f t="shared" si="103"/>
        <v>0</v>
      </c>
      <c r="F206" s="107">
        <f t="shared" si="103"/>
        <v>0</v>
      </c>
      <c r="G206" s="107">
        <f t="shared" si="103"/>
        <v>0</v>
      </c>
      <c r="H206" s="107">
        <f t="shared" si="103"/>
        <v>0</v>
      </c>
      <c r="I206" s="107">
        <f t="shared" si="103"/>
        <v>0</v>
      </c>
      <c r="J206" s="107">
        <f t="shared" si="103"/>
        <v>0</v>
      </c>
      <c r="K206" s="107">
        <f t="shared" si="103"/>
        <v>0</v>
      </c>
      <c r="L206" s="107">
        <f t="shared" si="103"/>
        <v>0</v>
      </c>
      <c r="M206" s="107">
        <f t="shared" si="103"/>
        <v>0</v>
      </c>
      <c r="N206" s="107">
        <f t="shared" si="103"/>
        <v>0</v>
      </c>
      <c r="P206" s="35"/>
      <c r="Q206" s="35"/>
      <c r="R206" s="35"/>
      <c r="S206" s="35"/>
      <c r="T206" s="35"/>
      <c r="U206" s="35"/>
      <c r="V206" s="35"/>
      <c r="W206" s="35"/>
      <c r="X206" s="35"/>
      <c r="Y206" s="35"/>
      <c r="Z206" s="35"/>
      <c r="AA206" s="35"/>
    </row>
    <row r="207" spans="1:27" x14ac:dyDescent="0.3">
      <c r="A207" s="40" t="s">
        <v>9</v>
      </c>
      <c r="B207" s="103">
        <f>SUM(B177:B206)</f>
        <v>916729982</v>
      </c>
      <c r="C207" s="103">
        <f t="shared" ref="C207" si="104">SUM(C177:C206)</f>
        <v>41923506.227687404</v>
      </c>
      <c r="D207" s="103">
        <f t="shared" ref="D207" si="105">SUM(D177:D206)</f>
        <v>43105961.924124986</v>
      </c>
      <c r="E207" s="103">
        <f t="shared" ref="E207" si="106">SUM(E177:E206)</f>
        <v>30288178.457468599</v>
      </c>
      <c r="F207" s="103">
        <f t="shared" ref="F207" si="107">SUM(F177:F206)</f>
        <v>33489526.346845973</v>
      </c>
      <c r="G207" s="103">
        <f t="shared" ref="G207" si="108">SUM(G177:G206)</f>
        <v>85090819.707063437</v>
      </c>
      <c r="H207" s="103">
        <f t="shared" ref="H207" si="109">SUM(H177:H206)</f>
        <v>142080475.47166228</v>
      </c>
      <c r="I207" s="103">
        <f t="shared" ref="I207" si="110">SUM(I177:I206)</f>
        <v>138041343.26513284</v>
      </c>
      <c r="J207" s="103">
        <f t="shared" ref="J207" si="111">SUM(J177:J206)</f>
        <v>39734228.055789366</v>
      </c>
      <c r="K207" s="103">
        <f t="shared" ref="K207" si="112">SUM(K177:K206)</f>
        <v>36446423.035742566</v>
      </c>
      <c r="L207" s="103">
        <f t="shared" ref="L207" si="113">SUM(L177:L206)</f>
        <v>84695421.901464343</v>
      </c>
      <c r="M207" s="103">
        <f t="shared" ref="M207" si="114">SUM(M177:M206)</f>
        <v>160369184.59949964</v>
      </c>
      <c r="N207" s="103">
        <f t="shared" ref="N207" si="115">SUM(N177:N206)</f>
        <v>81464913.007518545</v>
      </c>
    </row>
    <row r="208" spans="1:27" ht="15" thickBot="1" x14ac:dyDescent="0.35">
      <c r="A208" s="41" t="s">
        <v>10</v>
      </c>
      <c r="B208" s="106">
        <f t="shared" ref="B208:N208" si="116">B175-B207</f>
        <v>20667895</v>
      </c>
      <c r="C208" s="106">
        <f t="shared" si="116"/>
        <v>-20425554.489718292</v>
      </c>
      <c r="D208" s="106">
        <f t="shared" si="116"/>
        <v>-13063397.675373528</v>
      </c>
      <c r="E208" s="106">
        <f t="shared" si="116"/>
        <v>-1584797.0056532435</v>
      </c>
      <c r="F208" s="106">
        <f t="shared" si="116"/>
        <v>103647471.95778675</v>
      </c>
      <c r="G208" s="106">
        <f t="shared" si="116"/>
        <v>92319737.406135589</v>
      </c>
      <c r="H208" s="106">
        <f t="shared" si="116"/>
        <v>-63425493.479450628</v>
      </c>
      <c r="I208" s="106">
        <f t="shared" si="116"/>
        <v>-99185386.278637379</v>
      </c>
      <c r="J208" s="106">
        <f t="shared" si="116"/>
        <v>-8597077.4284804612</v>
      </c>
      <c r="K208" s="106">
        <f t="shared" si="116"/>
        <v>26639068.790563747</v>
      </c>
      <c r="L208" s="106">
        <f t="shared" si="116"/>
        <v>126065111.21902847</v>
      </c>
      <c r="M208" s="106">
        <f t="shared" si="116"/>
        <v>-80089268.583100006</v>
      </c>
      <c r="N208" s="106">
        <f t="shared" si="116"/>
        <v>-41632519.433101043</v>
      </c>
    </row>
    <row r="209" spans="1:18" x14ac:dyDescent="0.3">
      <c r="A209" s="37" t="s">
        <v>171</v>
      </c>
      <c r="B209" s="108"/>
      <c r="C209" s="109"/>
      <c r="D209" s="109"/>
      <c r="E209" s="109"/>
      <c r="F209" s="109"/>
      <c r="G209" s="109"/>
      <c r="H209" s="109"/>
      <c r="I209" s="109"/>
      <c r="J209" s="109"/>
      <c r="K209" s="109"/>
      <c r="L209" s="109"/>
      <c r="M209" s="109"/>
      <c r="N209" s="109"/>
    </row>
    <row r="210" spans="1:18" ht="15" thickBot="1" x14ac:dyDescent="0.35">
      <c r="A210" s="38"/>
      <c r="B210" s="111" t="str">
        <f t="shared" ref="B210:N210" si="117">B141</f>
        <v>TOTAL-2021</v>
      </c>
      <c r="C210" s="111" t="str">
        <f t="shared" si="117"/>
        <v>JUL-2020</v>
      </c>
      <c r="D210" s="111" t="str">
        <f t="shared" si="117"/>
        <v>AUG-2020</v>
      </c>
      <c r="E210" s="111" t="str">
        <f t="shared" si="117"/>
        <v>SEP-2020</v>
      </c>
      <c r="F210" s="111" t="str">
        <f t="shared" si="117"/>
        <v>OCT-2020</v>
      </c>
      <c r="G210" s="111" t="str">
        <f t="shared" si="117"/>
        <v>NOV-2020</v>
      </c>
      <c r="H210" s="111" t="str">
        <f t="shared" si="117"/>
        <v>DEC-2020</v>
      </c>
      <c r="I210" s="111" t="str">
        <f t="shared" si="117"/>
        <v>JAN-2021</v>
      </c>
      <c r="J210" s="111" t="str">
        <f t="shared" si="117"/>
        <v>FEB-2021</v>
      </c>
      <c r="K210" s="111" t="str">
        <f t="shared" si="117"/>
        <v>MAR-2021</v>
      </c>
      <c r="L210" s="111" t="str">
        <f t="shared" si="117"/>
        <v>APR-2021</v>
      </c>
      <c r="M210" s="111" t="str">
        <f t="shared" si="117"/>
        <v>MAY-2021</v>
      </c>
      <c r="N210" s="111" t="str">
        <f t="shared" si="117"/>
        <v>JUN-2021</v>
      </c>
    </row>
    <row r="211" spans="1:18" ht="15" thickBot="1" x14ac:dyDescent="0.35">
      <c r="A211" s="10" t="s">
        <v>6</v>
      </c>
      <c r="B211" s="132" t="s">
        <v>163</v>
      </c>
      <c r="C211" s="131" t="s">
        <v>113</v>
      </c>
      <c r="D211" s="131" t="s">
        <v>113</v>
      </c>
      <c r="E211" s="131" t="s">
        <v>113</v>
      </c>
      <c r="F211" s="131" t="s">
        <v>160</v>
      </c>
      <c r="G211" s="131" t="s">
        <v>160</v>
      </c>
      <c r="H211" s="131" t="s">
        <v>160</v>
      </c>
      <c r="I211" s="131" t="s">
        <v>160</v>
      </c>
      <c r="J211" s="131" t="s">
        <v>160</v>
      </c>
      <c r="K211" s="131" t="s">
        <v>160</v>
      </c>
      <c r="L211" s="131" t="s">
        <v>160</v>
      </c>
      <c r="M211" s="131" t="s">
        <v>160</v>
      </c>
      <c r="N211" s="131" t="s">
        <v>160</v>
      </c>
      <c r="P211" s="37" t="s">
        <v>161</v>
      </c>
      <c r="Q211" s="42"/>
      <c r="R211" s="42"/>
    </row>
    <row r="212" spans="1:18" x14ac:dyDescent="0.3">
      <c r="A212" s="4" t="str">
        <f t="shared" ref="A212:A241" si="118">A9</f>
        <v>PROPERTY TAX</v>
      </c>
      <c r="B212" s="101">
        <f>SUM(C212:N212)</f>
        <v>558213162</v>
      </c>
      <c r="C212" s="130">
        <f>764421+1783643</f>
        <v>2548064</v>
      </c>
      <c r="D212" s="102">
        <f>935763+1030572</f>
        <v>1966335</v>
      </c>
      <c r="E212" s="102">
        <f>4542498+62465</f>
        <v>4604963</v>
      </c>
      <c r="F212" s="102">
        <f>ROUND(F9*103%,-2)</f>
        <v>121001100</v>
      </c>
      <c r="G212" s="102">
        <f t="shared" ref="G212:N212" si="119">ROUND(G9*103%,-2)</f>
        <v>157497500</v>
      </c>
      <c r="H212" s="102">
        <f t="shared" si="119"/>
        <v>5859400</v>
      </c>
      <c r="I212" s="102">
        <f t="shared" si="119"/>
        <v>4087900</v>
      </c>
      <c r="J212" s="102">
        <f t="shared" si="119"/>
        <v>5811400</v>
      </c>
      <c r="K212" s="102">
        <f t="shared" si="119"/>
        <v>47877000</v>
      </c>
      <c r="L212" s="102">
        <f t="shared" si="119"/>
        <v>197170600</v>
      </c>
      <c r="M212" s="102">
        <f t="shared" si="119"/>
        <v>4896500</v>
      </c>
      <c r="N212" s="102">
        <f t="shared" si="119"/>
        <v>4892400</v>
      </c>
    </row>
    <row r="213" spans="1:18" x14ac:dyDescent="0.3">
      <c r="A213" s="4" t="str">
        <f t="shared" si="118"/>
        <v>SALES &amp; USE TAX</v>
      </c>
      <c r="B213" s="101">
        <f t="shared" ref="B213:B217" si="120">SUM(C213:N213)</f>
        <v>0</v>
      </c>
      <c r="C213" s="102"/>
      <c r="D213" s="102"/>
      <c r="E213" s="102"/>
      <c r="F213" s="102"/>
      <c r="G213" s="102"/>
      <c r="H213" s="102"/>
      <c r="I213" s="102"/>
      <c r="J213" s="102"/>
      <c r="K213" s="102"/>
      <c r="L213" s="102"/>
      <c r="M213" s="102"/>
      <c r="N213" s="102"/>
    </row>
    <row r="214" spans="1:18" x14ac:dyDescent="0.3">
      <c r="A214" s="4" t="str">
        <f t="shared" si="118"/>
        <v>FEES &amp; PERMITS</v>
      </c>
      <c r="B214" s="101">
        <f t="shared" si="120"/>
        <v>0</v>
      </c>
      <c r="C214" s="102"/>
      <c r="D214" s="102"/>
      <c r="E214" s="102"/>
      <c r="F214" s="102"/>
      <c r="G214" s="102"/>
      <c r="H214" s="102"/>
      <c r="I214" s="102"/>
      <c r="J214" s="102"/>
      <c r="K214" s="102"/>
      <c r="L214" s="102"/>
      <c r="M214" s="102"/>
      <c r="N214" s="102"/>
    </row>
    <row r="215" spans="1:18" x14ac:dyDescent="0.3">
      <c r="A215" s="4" t="str">
        <f t="shared" si="118"/>
        <v>FISCAL DISPARITIES</v>
      </c>
      <c r="B215" s="101">
        <f t="shared" si="120"/>
        <v>102642800</v>
      </c>
      <c r="C215" s="102"/>
      <c r="D215" s="102"/>
      <c r="E215" s="102"/>
      <c r="F215" s="102">
        <f>F12*103%</f>
        <v>0</v>
      </c>
      <c r="G215" s="102">
        <f t="shared" ref="G215:N215" si="121">G12*103%</f>
        <v>0</v>
      </c>
      <c r="H215" s="102">
        <f t="shared" ref="H215" si="122">ROUND(H12*103%,-2)</f>
        <v>51321400</v>
      </c>
      <c r="I215" s="102">
        <f t="shared" si="121"/>
        <v>0</v>
      </c>
      <c r="J215" s="102">
        <f t="shared" si="121"/>
        <v>0</v>
      </c>
      <c r="K215" s="102">
        <f t="shared" si="121"/>
        <v>0</v>
      </c>
      <c r="L215" s="102">
        <f t="shared" si="121"/>
        <v>0</v>
      </c>
      <c r="M215" s="102">
        <f t="shared" ref="M215" si="123">ROUND(M12*103%,-2)</f>
        <v>51321400</v>
      </c>
      <c r="N215" s="102">
        <f t="shared" si="121"/>
        <v>0</v>
      </c>
    </row>
    <row r="216" spans="1:18" x14ac:dyDescent="0.3">
      <c r="A216" s="4" t="str">
        <f t="shared" si="118"/>
        <v>BUSINESS LICENSE TAXES</v>
      </c>
      <c r="B216" s="101">
        <f t="shared" si="120"/>
        <v>0</v>
      </c>
      <c r="C216" s="102"/>
      <c r="D216" s="102"/>
      <c r="E216" s="102"/>
      <c r="F216" s="102"/>
      <c r="G216" s="102"/>
      <c r="H216" s="102"/>
      <c r="I216" s="102"/>
      <c r="J216" s="102"/>
      <c r="K216" s="102"/>
      <c r="L216" s="102"/>
      <c r="M216" s="102"/>
      <c r="N216" s="102"/>
    </row>
    <row r="217" spans="1:18" x14ac:dyDescent="0.3">
      <c r="A217" s="4" t="str">
        <f t="shared" si="118"/>
        <v>INTRAGOVT SVC CHARGES</v>
      </c>
      <c r="B217" s="101">
        <f t="shared" si="120"/>
        <v>0</v>
      </c>
      <c r="C217" s="102"/>
      <c r="D217" s="102"/>
      <c r="E217" s="102"/>
      <c r="F217" s="102"/>
      <c r="G217" s="102"/>
      <c r="H217" s="102"/>
      <c r="I217" s="102"/>
      <c r="J217" s="102"/>
      <c r="K217" s="102"/>
      <c r="L217" s="102"/>
      <c r="M217" s="102"/>
      <c r="N217" s="102"/>
    </row>
    <row r="218" spans="1:18" x14ac:dyDescent="0.3">
      <c r="A218" s="4" t="str">
        <f t="shared" si="118"/>
        <v>INTERGOVT REVENUES</v>
      </c>
      <c r="B218" s="101">
        <f t="shared" ref="B218" si="124">SUM(C218:N218)</f>
        <v>242383168</v>
      </c>
      <c r="C218" s="102">
        <v>13130657</v>
      </c>
      <c r="D218" s="102">
        <v>28198346</v>
      </c>
      <c r="E218" s="102">
        <v>15790165</v>
      </c>
      <c r="F218" s="102">
        <f>ROUND(F15*101%,-2)</f>
        <v>12725700</v>
      </c>
      <c r="G218" s="102">
        <f t="shared" ref="G218:N218" si="125">ROUND(G15*101%,-2)</f>
        <v>21468800</v>
      </c>
      <c r="H218" s="102">
        <f t="shared" si="125"/>
        <v>27988800</v>
      </c>
      <c r="I218" s="102">
        <f t="shared" si="125"/>
        <v>28073900</v>
      </c>
      <c r="J218" s="102">
        <f t="shared" si="125"/>
        <v>23292800</v>
      </c>
      <c r="K218" s="102">
        <f t="shared" si="125"/>
        <v>15632000</v>
      </c>
      <c r="L218" s="102">
        <f t="shared" si="125"/>
        <v>15078900</v>
      </c>
      <c r="M218" s="102">
        <f t="shared" si="125"/>
        <v>18643600</v>
      </c>
      <c r="N218" s="102">
        <f t="shared" si="125"/>
        <v>22359500</v>
      </c>
    </row>
    <row r="219" spans="1:18" x14ac:dyDescent="0.3">
      <c r="A219" s="4" t="str">
        <f t="shared" si="118"/>
        <v>REIMBURSEMENTS</v>
      </c>
      <c r="B219" s="101">
        <f t="shared" ref="B219" si="126">SUM(C219:N219)</f>
        <v>0</v>
      </c>
      <c r="C219" s="102"/>
      <c r="D219" s="102"/>
      <c r="E219" s="102"/>
      <c r="F219" s="102"/>
      <c r="G219" s="102"/>
      <c r="H219" s="102"/>
      <c r="I219" s="102"/>
      <c r="J219" s="102"/>
      <c r="K219" s="102"/>
      <c r="L219" s="102"/>
      <c r="M219" s="102"/>
      <c r="N219" s="102"/>
    </row>
    <row r="220" spans="1:18" x14ac:dyDescent="0.3">
      <c r="A220" s="4" t="str">
        <f t="shared" si="118"/>
        <v>DONATIONS/CONTRIBS/ INV INCOME</v>
      </c>
      <c r="B220" s="101">
        <f t="shared" ref="B220:B227" si="127">SUM(C220:N220)</f>
        <v>5674163</v>
      </c>
      <c r="C220" s="102">
        <v>715183</v>
      </c>
      <c r="D220" s="102">
        <v>1226834</v>
      </c>
      <c r="E220" s="102">
        <v>355793</v>
      </c>
      <c r="F220" s="102">
        <v>250917</v>
      </c>
      <c r="G220" s="102">
        <v>264418</v>
      </c>
      <c r="H220" s="102">
        <v>377588</v>
      </c>
      <c r="I220" s="102">
        <v>306589</v>
      </c>
      <c r="J220" s="102">
        <v>843205</v>
      </c>
      <c r="K220" s="102">
        <v>515642</v>
      </c>
      <c r="L220" s="102">
        <v>226787</v>
      </c>
      <c r="M220" s="102">
        <v>240028</v>
      </c>
      <c r="N220" s="102">
        <v>351179</v>
      </c>
    </row>
    <row r="221" spans="1:18" x14ac:dyDescent="0.3">
      <c r="A221" s="4" t="str">
        <f t="shared" si="118"/>
        <v>FINES &amp; FORFEITURES</v>
      </c>
      <c r="B221" s="101">
        <f t="shared" si="127"/>
        <v>0</v>
      </c>
      <c r="C221" s="102"/>
      <c r="D221" s="102"/>
      <c r="E221" s="102"/>
      <c r="F221" s="102"/>
      <c r="G221" s="102"/>
      <c r="H221" s="102"/>
      <c r="I221" s="102"/>
      <c r="J221" s="102"/>
      <c r="K221" s="102"/>
      <c r="L221" s="102"/>
      <c r="M221" s="102"/>
      <c r="N221" s="102"/>
    </row>
    <row r="222" spans="1:18" x14ac:dyDescent="0.3">
      <c r="A222" s="4" t="str">
        <f t="shared" si="118"/>
        <v>USE OF MONEY &amp; PROPERTY</v>
      </c>
      <c r="B222" s="101">
        <f t="shared" si="127"/>
        <v>0</v>
      </c>
      <c r="C222" s="102"/>
      <c r="D222" s="102"/>
      <c r="E222" s="102"/>
      <c r="F222" s="102"/>
      <c r="G222" s="102"/>
      <c r="H222" s="102"/>
      <c r="I222" s="102"/>
      <c r="J222" s="102"/>
      <c r="K222" s="102"/>
      <c r="L222" s="102"/>
      <c r="M222" s="102"/>
      <c r="N222" s="102"/>
    </row>
    <row r="223" spans="1:18" x14ac:dyDescent="0.3">
      <c r="A223" s="4" t="str">
        <f t="shared" si="118"/>
        <v>OTHER SOURCES / INV MATURITIES</v>
      </c>
      <c r="B223" s="101">
        <f t="shared" si="127"/>
        <v>58198891</v>
      </c>
      <c r="C223" s="102">
        <v>16872000</v>
      </c>
      <c r="D223" s="102">
        <v>11085000</v>
      </c>
      <c r="E223" s="102">
        <v>6371000</v>
      </c>
      <c r="F223" s="102">
        <v>1945000</v>
      </c>
      <c r="G223" s="102">
        <v>3000000</v>
      </c>
      <c r="H223" s="102">
        <v>2000000</v>
      </c>
      <c r="I223" s="102">
        <v>1244000</v>
      </c>
      <c r="J223" s="102">
        <v>2470000</v>
      </c>
      <c r="K223" s="102">
        <v>6166891</v>
      </c>
      <c r="L223" s="102">
        <v>5000000</v>
      </c>
      <c r="M223" s="102">
        <v>450000</v>
      </c>
      <c r="N223" s="102">
        <v>1595000</v>
      </c>
    </row>
    <row r="224" spans="1:18" x14ac:dyDescent="0.3">
      <c r="A224" s="4" t="str">
        <f t="shared" si="118"/>
        <v>TRANSIT TAX</v>
      </c>
      <c r="B224" s="101">
        <f t="shared" si="127"/>
        <v>9329003</v>
      </c>
      <c r="C224" s="102">
        <v>1056355</v>
      </c>
      <c r="D224" s="102">
        <v>1203091</v>
      </c>
      <c r="E224" s="102">
        <v>944257</v>
      </c>
      <c r="F224" s="102">
        <v>870000</v>
      </c>
      <c r="G224" s="102">
        <f>ROUND(G21*60%,-2)</f>
        <v>602600</v>
      </c>
      <c r="H224" s="102">
        <f t="shared" ref="H224:N224" si="128">ROUND(H21*60%,-2)</f>
        <v>611100</v>
      </c>
      <c r="I224" s="102">
        <f t="shared" si="128"/>
        <v>647700</v>
      </c>
      <c r="J224" s="102">
        <f t="shared" si="128"/>
        <v>664700</v>
      </c>
      <c r="K224" s="102">
        <f t="shared" si="128"/>
        <v>734800</v>
      </c>
      <c r="L224" s="102">
        <f t="shared" si="128"/>
        <v>678700</v>
      </c>
      <c r="M224" s="102">
        <f t="shared" si="128"/>
        <v>664600</v>
      </c>
      <c r="N224" s="102">
        <f t="shared" si="128"/>
        <v>651100</v>
      </c>
    </row>
    <row r="225" spans="1:14" x14ac:dyDescent="0.3">
      <c r="A225" s="4" t="str">
        <f t="shared" si="118"/>
        <v>PARK</v>
      </c>
      <c r="B225" s="101">
        <f t="shared" si="127"/>
        <v>2729451</v>
      </c>
      <c r="C225" s="102">
        <v>260399</v>
      </c>
      <c r="D225" s="102">
        <v>114912</v>
      </c>
      <c r="E225" s="102">
        <v>67965</v>
      </c>
      <c r="F225" s="102">
        <f>ROUND(F22*103%,-2)-20000</f>
        <v>127200</v>
      </c>
      <c r="G225" s="102">
        <f t="shared" ref="G225" si="129">ROUND(G22*103%,-2)</f>
        <v>315200</v>
      </c>
      <c r="H225" s="102">
        <f>ROUND(H22*103%,-2)-275000</f>
        <v>515000</v>
      </c>
      <c r="I225" s="102">
        <f>ROUND(I22*103%,-2)-785000</f>
        <v>647400</v>
      </c>
      <c r="J225" s="102">
        <f>SUM(ROUND(J22*103%,-2)-525000)*75%</f>
        <v>346050</v>
      </c>
      <c r="K225" s="102">
        <f>SUM(ROUND(K22*103%,-2)-40000)*75%</f>
        <v>179025</v>
      </c>
      <c r="L225" s="102">
        <f>SUM(ROUND(L22*103%,-2))*75%</f>
        <v>81975</v>
      </c>
      <c r="M225" s="102">
        <f t="shared" ref="M225:N225" si="130">SUM(ROUND(M22*103%,-2))*75%</f>
        <v>13725</v>
      </c>
      <c r="N225" s="102">
        <f t="shared" si="130"/>
        <v>60600</v>
      </c>
    </row>
    <row r="226" spans="1:14" x14ac:dyDescent="0.3">
      <c r="A226" s="4" t="str">
        <f t="shared" si="118"/>
        <v>LIBRARY</v>
      </c>
      <c r="B226" s="101">
        <f t="shared" si="127"/>
        <v>746717</v>
      </c>
      <c r="C226" s="102">
        <v>41143</v>
      </c>
      <c r="D226" s="102">
        <v>163570</v>
      </c>
      <c r="E226" s="102">
        <v>17104</v>
      </c>
      <c r="F226" s="102">
        <f t="shared" ref="F226:N226" si="131">ROUND(F23*103%,-2)</f>
        <v>73700</v>
      </c>
      <c r="G226" s="102">
        <f t="shared" si="131"/>
        <v>27700</v>
      </c>
      <c r="H226" s="102">
        <f t="shared" si="131"/>
        <v>26300</v>
      </c>
      <c r="I226" s="102">
        <f t="shared" si="131"/>
        <v>33600</v>
      </c>
      <c r="J226" s="102">
        <f t="shared" si="131"/>
        <v>86300</v>
      </c>
      <c r="K226" s="102">
        <f t="shared" si="131"/>
        <v>141700</v>
      </c>
      <c r="L226" s="102">
        <f t="shared" si="131"/>
        <v>68400</v>
      </c>
      <c r="M226" s="102">
        <f t="shared" si="131"/>
        <v>28900</v>
      </c>
      <c r="N226" s="102">
        <f t="shared" si="131"/>
        <v>38300</v>
      </c>
    </row>
    <row r="227" spans="1:14" x14ac:dyDescent="0.3">
      <c r="A227" s="4" t="str">
        <f t="shared" si="118"/>
        <v>FINANCING PROCEEDS</v>
      </c>
      <c r="B227" s="101">
        <f t="shared" si="127"/>
        <v>11548502</v>
      </c>
      <c r="C227" s="102">
        <v>11548502</v>
      </c>
      <c r="D227" s="102"/>
      <c r="E227" s="102"/>
      <c r="F227" s="102"/>
      <c r="G227" s="102"/>
      <c r="H227" s="102"/>
      <c r="I227" s="102"/>
      <c r="J227" s="102"/>
      <c r="K227" s="102"/>
      <c r="L227" s="102"/>
      <c r="M227" s="102"/>
      <c r="N227" s="102"/>
    </row>
    <row r="228" spans="1:14" x14ac:dyDescent="0.3">
      <c r="A228" s="4" t="str">
        <f t="shared" si="118"/>
        <v>OTHER NON-RECURRING SOURCES</v>
      </c>
      <c r="B228" s="101">
        <f t="shared" ref="B228:B241" si="132">SUM(C228:N228)</f>
        <v>0</v>
      </c>
      <c r="C228" s="102"/>
      <c r="D228" s="102"/>
      <c r="E228" s="102"/>
      <c r="F228" s="102"/>
      <c r="G228" s="102"/>
      <c r="H228" s="102"/>
      <c r="I228" s="102"/>
      <c r="J228" s="102"/>
      <c r="K228" s="102"/>
      <c r="L228" s="102"/>
      <c r="M228" s="102"/>
      <c r="N228" s="102"/>
    </row>
    <row r="229" spans="1:14" x14ac:dyDescent="0.3">
      <c r="A229" s="4" t="str">
        <f t="shared" si="118"/>
        <v>OTHER SOURCES</v>
      </c>
      <c r="B229" s="101">
        <f t="shared" si="132"/>
        <v>0</v>
      </c>
      <c r="C229" s="102"/>
      <c r="D229" s="102"/>
      <c r="E229" s="102"/>
      <c r="F229" s="102"/>
      <c r="G229" s="102"/>
      <c r="H229" s="102"/>
      <c r="I229" s="102"/>
      <c r="J229" s="102"/>
      <c r="K229" s="102"/>
      <c r="L229" s="102"/>
      <c r="M229" s="102"/>
      <c r="N229" s="102"/>
    </row>
    <row r="230" spans="1:14" x14ac:dyDescent="0.3">
      <c r="A230" s="4" t="str">
        <f t="shared" si="118"/>
        <v>OTHER SOURCES</v>
      </c>
      <c r="B230" s="101">
        <f t="shared" si="132"/>
        <v>0</v>
      </c>
      <c r="C230" s="102"/>
      <c r="D230" s="102"/>
      <c r="E230" s="102"/>
      <c r="F230" s="102"/>
      <c r="G230" s="102"/>
      <c r="H230" s="102"/>
      <c r="I230" s="102"/>
      <c r="J230" s="102"/>
      <c r="K230" s="102"/>
      <c r="L230" s="102"/>
      <c r="M230" s="102"/>
      <c r="N230" s="102"/>
    </row>
    <row r="231" spans="1:14" x14ac:dyDescent="0.3">
      <c r="A231" s="4" t="str">
        <f t="shared" si="118"/>
        <v>OTHER SOURCES</v>
      </c>
      <c r="B231" s="101">
        <f t="shared" si="132"/>
        <v>0</v>
      </c>
      <c r="C231" s="102"/>
      <c r="D231" s="102"/>
      <c r="E231" s="102"/>
      <c r="F231" s="102"/>
      <c r="G231" s="102"/>
      <c r="H231" s="102"/>
      <c r="I231" s="102"/>
      <c r="J231" s="102"/>
      <c r="K231" s="102"/>
      <c r="L231" s="102"/>
      <c r="M231" s="102"/>
      <c r="N231" s="102"/>
    </row>
    <row r="232" spans="1:14" x14ac:dyDescent="0.3">
      <c r="A232" s="4" t="str">
        <f t="shared" si="118"/>
        <v>OTHER SOURCES</v>
      </c>
      <c r="B232" s="101">
        <f t="shared" si="132"/>
        <v>0</v>
      </c>
      <c r="C232" s="102"/>
      <c r="D232" s="102"/>
      <c r="E232" s="102"/>
      <c r="F232" s="102"/>
      <c r="G232" s="102"/>
      <c r="H232" s="102"/>
      <c r="I232" s="102"/>
      <c r="J232" s="102"/>
      <c r="K232" s="102"/>
      <c r="L232" s="102"/>
      <c r="M232" s="102"/>
      <c r="N232" s="102"/>
    </row>
    <row r="233" spans="1:14" x14ac:dyDescent="0.3">
      <c r="A233" s="4" t="str">
        <f t="shared" si="118"/>
        <v>OTHER SOURCES</v>
      </c>
      <c r="B233" s="101">
        <f t="shared" si="132"/>
        <v>0</v>
      </c>
      <c r="C233" s="102"/>
      <c r="D233" s="102"/>
      <c r="E233" s="102"/>
      <c r="F233" s="102"/>
      <c r="G233" s="102"/>
      <c r="H233" s="102"/>
      <c r="I233" s="102"/>
      <c r="J233" s="102"/>
      <c r="K233" s="102"/>
      <c r="L233" s="102"/>
      <c r="M233" s="102"/>
      <c r="N233" s="102"/>
    </row>
    <row r="234" spans="1:14" x14ac:dyDescent="0.3">
      <c r="A234" s="4" t="str">
        <f t="shared" si="118"/>
        <v>OTHER SOURCES</v>
      </c>
      <c r="B234" s="101">
        <f t="shared" si="132"/>
        <v>0</v>
      </c>
      <c r="C234" s="102"/>
      <c r="D234" s="102"/>
      <c r="E234" s="102"/>
      <c r="F234" s="102"/>
      <c r="G234" s="102"/>
      <c r="H234" s="102"/>
      <c r="I234" s="102"/>
      <c r="J234" s="102"/>
      <c r="K234" s="102"/>
      <c r="L234" s="102"/>
      <c r="M234" s="102"/>
      <c r="N234" s="102"/>
    </row>
    <row r="235" spans="1:14" x14ac:dyDescent="0.3">
      <c r="A235" s="4" t="str">
        <f t="shared" si="118"/>
        <v>OTHER SOURCES</v>
      </c>
      <c r="B235" s="101">
        <f t="shared" si="132"/>
        <v>0</v>
      </c>
      <c r="C235" s="102"/>
      <c r="D235" s="102"/>
      <c r="E235" s="102"/>
      <c r="F235" s="102"/>
      <c r="G235" s="102"/>
      <c r="H235" s="102"/>
      <c r="I235" s="102"/>
      <c r="J235" s="102"/>
      <c r="K235" s="102"/>
      <c r="L235" s="102"/>
      <c r="M235" s="102"/>
      <c r="N235" s="102"/>
    </row>
    <row r="236" spans="1:14" x14ac:dyDescent="0.3">
      <c r="A236" s="4" t="str">
        <f t="shared" si="118"/>
        <v>OTHER SOURCES</v>
      </c>
      <c r="B236" s="101">
        <f t="shared" si="132"/>
        <v>0</v>
      </c>
      <c r="C236" s="102"/>
      <c r="D236" s="102"/>
      <c r="E236" s="102"/>
      <c r="F236" s="102"/>
      <c r="G236" s="102"/>
      <c r="H236" s="102"/>
      <c r="I236" s="102"/>
      <c r="J236" s="102"/>
      <c r="K236" s="102"/>
      <c r="L236" s="102"/>
      <c r="M236" s="102"/>
      <c r="N236" s="102"/>
    </row>
    <row r="237" spans="1:14" x14ac:dyDescent="0.3">
      <c r="A237" s="4" t="str">
        <f t="shared" si="118"/>
        <v>OTHER SOURCES</v>
      </c>
      <c r="B237" s="101">
        <f t="shared" si="132"/>
        <v>0</v>
      </c>
      <c r="C237" s="102"/>
      <c r="D237" s="102"/>
      <c r="E237" s="102"/>
      <c r="F237" s="102"/>
      <c r="G237" s="102"/>
      <c r="H237" s="102"/>
      <c r="I237" s="102"/>
      <c r="J237" s="102"/>
      <c r="K237" s="102"/>
      <c r="L237" s="102"/>
      <c r="M237" s="102"/>
      <c r="N237" s="102"/>
    </row>
    <row r="238" spans="1:14" x14ac:dyDescent="0.3">
      <c r="A238" s="4" t="str">
        <f t="shared" si="118"/>
        <v>OTHER SOURCES</v>
      </c>
      <c r="B238" s="101">
        <f t="shared" si="132"/>
        <v>0</v>
      </c>
      <c r="C238" s="102"/>
      <c r="D238" s="102"/>
      <c r="E238" s="102"/>
      <c r="F238" s="102"/>
      <c r="G238" s="102"/>
      <c r="H238" s="102"/>
      <c r="I238" s="102"/>
      <c r="J238" s="102"/>
      <c r="K238" s="102"/>
      <c r="L238" s="102"/>
      <c r="M238" s="102"/>
      <c r="N238" s="102"/>
    </row>
    <row r="239" spans="1:14" x14ac:dyDescent="0.3">
      <c r="A239" s="4" t="str">
        <f t="shared" si="118"/>
        <v>OTHER SOURCES</v>
      </c>
      <c r="B239" s="101">
        <f t="shared" si="132"/>
        <v>0</v>
      </c>
      <c r="C239" s="102"/>
      <c r="D239" s="102"/>
      <c r="E239" s="102"/>
      <c r="F239" s="102"/>
      <c r="G239" s="102"/>
      <c r="H239" s="102"/>
      <c r="I239" s="102"/>
      <c r="J239" s="102"/>
      <c r="K239" s="102"/>
      <c r="L239" s="102"/>
      <c r="M239" s="102"/>
      <c r="N239" s="102"/>
    </row>
    <row r="240" spans="1:14" x14ac:dyDescent="0.3">
      <c r="A240" s="4" t="str">
        <f t="shared" si="118"/>
        <v>OTHER SOURCES</v>
      </c>
      <c r="B240" s="101">
        <f t="shared" si="132"/>
        <v>0</v>
      </c>
      <c r="C240" s="102"/>
      <c r="D240" s="102"/>
      <c r="E240" s="102"/>
      <c r="F240" s="102"/>
      <c r="G240" s="102"/>
      <c r="H240" s="102"/>
      <c r="I240" s="102"/>
      <c r="J240" s="102"/>
      <c r="K240" s="102"/>
      <c r="L240" s="102"/>
      <c r="M240" s="102"/>
      <c r="N240" s="102"/>
    </row>
    <row r="241" spans="1:18" x14ac:dyDescent="0.3">
      <c r="A241" s="4" t="str">
        <f t="shared" si="118"/>
        <v>OTHER SOURCES</v>
      </c>
      <c r="B241" s="101">
        <f t="shared" si="132"/>
        <v>0</v>
      </c>
      <c r="C241" s="102"/>
      <c r="D241" s="102"/>
      <c r="E241" s="102"/>
      <c r="F241" s="102"/>
      <c r="G241" s="102"/>
      <c r="H241" s="102"/>
      <c r="I241" s="102"/>
      <c r="J241" s="102"/>
      <c r="K241" s="102"/>
      <c r="L241" s="102"/>
      <c r="M241" s="102"/>
      <c r="N241" s="102"/>
    </row>
    <row r="242" spans="1:18" ht="15" thickBot="1" x14ac:dyDescent="0.35">
      <c r="A242" s="40" t="s">
        <v>8</v>
      </c>
      <c r="B242" s="103">
        <f t="shared" ref="B242:N242" si="133">SUM(B212:B241)</f>
        <v>991465857</v>
      </c>
      <c r="C242" s="103">
        <f t="shared" si="133"/>
        <v>46172303</v>
      </c>
      <c r="D242" s="103">
        <f t="shared" si="133"/>
        <v>43958088</v>
      </c>
      <c r="E242" s="103">
        <f t="shared" si="133"/>
        <v>28151247</v>
      </c>
      <c r="F242" s="103">
        <f t="shared" si="133"/>
        <v>136993617</v>
      </c>
      <c r="G242" s="103">
        <f t="shared" si="133"/>
        <v>183176218</v>
      </c>
      <c r="H242" s="103">
        <f t="shared" si="133"/>
        <v>88699588</v>
      </c>
      <c r="I242" s="103">
        <f t="shared" si="133"/>
        <v>35041089</v>
      </c>
      <c r="J242" s="103">
        <f t="shared" si="133"/>
        <v>33514455</v>
      </c>
      <c r="K242" s="103">
        <f t="shared" si="133"/>
        <v>71247058</v>
      </c>
      <c r="L242" s="103">
        <f t="shared" si="133"/>
        <v>218305362</v>
      </c>
      <c r="M242" s="103">
        <f t="shared" si="133"/>
        <v>76258753</v>
      </c>
      <c r="N242" s="103">
        <f t="shared" si="133"/>
        <v>29948079</v>
      </c>
    </row>
    <row r="243" spans="1:18" ht="15" thickBot="1" x14ac:dyDescent="0.35">
      <c r="A243" s="10" t="s">
        <v>7</v>
      </c>
      <c r="B243" s="132" t="s">
        <v>163</v>
      </c>
      <c r="C243" s="131" t="s">
        <v>113</v>
      </c>
      <c r="D243" s="131" t="s">
        <v>113</v>
      </c>
      <c r="E243" s="131" t="s">
        <v>113</v>
      </c>
      <c r="F243" s="131" t="s">
        <v>160</v>
      </c>
      <c r="G243" s="131" t="s">
        <v>160</v>
      </c>
      <c r="H243" s="131" t="s">
        <v>160</v>
      </c>
      <c r="I243" s="131" t="s">
        <v>160</v>
      </c>
      <c r="J243" s="131" t="s">
        <v>160</v>
      </c>
      <c r="K243" s="131" t="s">
        <v>160</v>
      </c>
      <c r="L243" s="131" t="s">
        <v>160</v>
      </c>
      <c r="M243" s="131" t="s">
        <v>160</v>
      </c>
      <c r="N243" s="131" t="s">
        <v>160</v>
      </c>
      <c r="P243" s="37" t="s">
        <v>161</v>
      </c>
      <c r="Q243" s="42"/>
      <c r="R243" s="42"/>
    </row>
    <row r="244" spans="1:18" x14ac:dyDescent="0.3">
      <c r="A244" s="4" t="str">
        <f t="shared" ref="A244:A259" si="134">A41</f>
        <v>SALARIES &amp; WAGES</v>
      </c>
      <c r="B244" s="101">
        <f t="shared" ref="B244:B254" si="135">SUM(C244:N244)</f>
        <v>116122286</v>
      </c>
      <c r="C244" s="102">
        <v>9058597</v>
      </c>
      <c r="D244" s="102">
        <v>8998198</v>
      </c>
      <c r="E244" s="102">
        <v>8915491</v>
      </c>
      <c r="F244" s="102">
        <f>ROUND(E244,-3)</f>
        <v>8915000</v>
      </c>
      <c r="G244" s="102">
        <f>F244*1.5</f>
        <v>13372500</v>
      </c>
      <c r="H244" s="102">
        <f>$F244</f>
        <v>8915000</v>
      </c>
      <c r="I244" s="102">
        <f t="shared" ref="I244:N245" si="136">$F244</f>
        <v>8915000</v>
      </c>
      <c r="J244" s="102">
        <f t="shared" si="136"/>
        <v>8915000</v>
      </c>
      <c r="K244" s="102">
        <f t="shared" si="136"/>
        <v>8915000</v>
      </c>
      <c r="L244" s="102">
        <f>G244</f>
        <v>13372500</v>
      </c>
      <c r="M244" s="102">
        <f t="shared" si="136"/>
        <v>8915000</v>
      </c>
      <c r="N244" s="102">
        <f t="shared" si="136"/>
        <v>8915000</v>
      </c>
    </row>
    <row r="245" spans="1:18" x14ac:dyDescent="0.3">
      <c r="A245" s="4" t="str">
        <f t="shared" si="134"/>
        <v>BENEFITS</v>
      </c>
      <c r="B245" s="101">
        <f t="shared" si="135"/>
        <v>24579921</v>
      </c>
      <c r="C245" s="102">
        <v>1852765</v>
      </c>
      <c r="D245" s="102">
        <v>1948512</v>
      </c>
      <c r="E245" s="102">
        <v>1888644</v>
      </c>
      <c r="F245" s="102">
        <f>ROUND(E245,-3)</f>
        <v>1889000</v>
      </c>
      <c r="G245" s="102">
        <f>F245*1.5</f>
        <v>2833500</v>
      </c>
      <c r="H245" s="102">
        <f>$F245</f>
        <v>1889000</v>
      </c>
      <c r="I245" s="102">
        <f t="shared" si="136"/>
        <v>1889000</v>
      </c>
      <c r="J245" s="102">
        <f t="shared" si="136"/>
        <v>1889000</v>
      </c>
      <c r="K245" s="102">
        <f t="shared" si="136"/>
        <v>1889000</v>
      </c>
      <c r="L245" s="102">
        <f>G245</f>
        <v>2833500</v>
      </c>
      <c r="M245" s="102">
        <f t="shared" si="136"/>
        <v>1889000</v>
      </c>
      <c r="N245" s="102">
        <f t="shared" si="136"/>
        <v>1889000</v>
      </c>
    </row>
    <row r="246" spans="1:18" x14ac:dyDescent="0.3">
      <c r="A246" s="4" t="str">
        <f t="shared" si="134"/>
        <v>CONTRACTUAL SERVICES</v>
      </c>
      <c r="B246" s="101">
        <f t="shared" si="135"/>
        <v>245408479</v>
      </c>
      <c r="C246" s="102">
        <v>19274995</v>
      </c>
      <c r="D246" s="102">
        <v>19291908</v>
      </c>
      <c r="E246" s="102">
        <v>16940376</v>
      </c>
      <c r="F246" s="102">
        <f>ROUND(F43*103%,-2)</f>
        <v>19964600</v>
      </c>
      <c r="G246" s="102">
        <f t="shared" ref="G246:N246" si="137">ROUND(G43*103%,-2)</f>
        <v>17907400</v>
      </c>
      <c r="H246" s="102">
        <f t="shared" si="137"/>
        <v>17838000</v>
      </c>
      <c r="I246" s="102">
        <f t="shared" si="137"/>
        <v>27897500</v>
      </c>
      <c r="J246" s="102">
        <f t="shared" si="137"/>
        <v>24658600</v>
      </c>
      <c r="K246" s="102">
        <f t="shared" si="137"/>
        <v>26192700</v>
      </c>
      <c r="L246" s="102">
        <f t="shared" si="137"/>
        <v>23749300</v>
      </c>
      <c r="M246" s="102">
        <f t="shared" si="137"/>
        <v>17204300</v>
      </c>
      <c r="N246" s="102">
        <f t="shared" si="137"/>
        <v>14488800</v>
      </c>
    </row>
    <row r="247" spans="1:18" x14ac:dyDescent="0.3">
      <c r="A247" s="4" t="str">
        <f t="shared" si="134"/>
        <v>UTILITIES</v>
      </c>
      <c r="B247" s="101">
        <f t="shared" si="135"/>
        <v>0</v>
      </c>
      <c r="C247" s="102"/>
      <c r="D247" s="102"/>
      <c r="E247" s="102"/>
      <c r="F247" s="102"/>
      <c r="G247" s="102"/>
      <c r="H247" s="102"/>
      <c r="I247" s="102"/>
      <c r="J247" s="102"/>
      <c r="K247" s="102"/>
      <c r="L247" s="102"/>
      <c r="M247" s="102"/>
      <c r="N247" s="102"/>
    </row>
    <row r="248" spans="1:18" x14ac:dyDescent="0.3">
      <c r="A248" s="4" t="str">
        <f t="shared" si="134"/>
        <v>MAINTENANCE AND REPAIRS</v>
      </c>
      <c r="B248" s="101">
        <f t="shared" ref="B248" si="138">SUM(C248:N248)</f>
        <v>0</v>
      </c>
      <c r="C248" s="102"/>
      <c r="D248" s="102"/>
      <c r="E248" s="102"/>
      <c r="F248" s="102"/>
      <c r="G248" s="102"/>
      <c r="H248" s="102"/>
      <c r="I248" s="102"/>
      <c r="J248" s="102"/>
      <c r="K248" s="102"/>
      <c r="L248" s="102"/>
      <c r="M248" s="102"/>
      <c r="N248" s="102"/>
    </row>
    <row r="249" spans="1:18" x14ac:dyDescent="0.3">
      <c r="A249" s="4" t="str">
        <f t="shared" si="134"/>
        <v>FISCAL DISPARITIES</v>
      </c>
      <c r="B249" s="101">
        <f t="shared" ref="B249" si="139">SUM(C249:N249)</f>
        <v>69211600</v>
      </c>
      <c r="C249" s="102"/>
      <c r="D249" s="102"/>
      <c r="E249" s="102"/>
      <c r="F249" s="102">
        <f>F46*103%</f>
        <v>0</v>
      </c>
      <c r="G249" s="102">
        <f t="shared" ref="G249:N249" si="140">G46*103%</f>
        <v>0</v>
      </c>
      <c r="H249" s="102">
        <f t="shared" ref="H249" si="141">ROUND(H46*103%,-2)</f>
        <v>34605800</v>
      </c>
      <c r="I249" s="102">
        <f t="shared" si="140"/>
        <v>0</v>
      </c>
      <c r="J249" s="102">
        <f t="shared" si="140"/>
        <v>0</v>
      </c>
      <c r="K249" s="102">
        <f t="shared" si="140"/>
        <v>0</v>
      </c>
      <c r="L249" s="102">
        <f t="shared" si="140"/>
        <v>0</v>
      </c>
      <c r="M249" s="102">
        <f t="shared" ref="M249" si="142">ROUND(M46*103%,-2)</f>
        <v>34605800</v>
      </c>
      <c r="N249" s="102">
        <f t="shared" si="140"/>
        <v>0</v>
      </c>
    </row>
    <row r="250" spans="1:18" x14ac:dyDescent="0.3">
      <c r="A250" s="4" t="str">
        <f t="shared" si="134"/>
        <v>CAPITAL</v>
      </c>
      <c r="B250" s="101">
        <f t="shared" ref="B250:B251" si="143">SUM(C250:N250)</f>
        <v>0</v>
      </c>
      <c r="C250" s="102"/>
      <c r="D250" s="102"/>
      <c r="E250" s="102"/>
      <c r="F250" s="102"/>
      <c r="G250" s="102"/>
      <c r="H250" s="102"/>
      <c r="I250" s="102"/>
      <c r="J250" s="102"/>
      <c r="K250" s="102"/>
      <c r="L250" s="102"/>
      <c r="M250" s="102"/>
      <c r="N250" s="102"/>
    </row>
    <row r="251" spans="1:18" x14ac:dyDescent="0.3">
      <c r="A251" s="4" t="str">
        <f t="shared" si="134"/>
        <v>GRANTS</v>
      </c>
      <c r="B251" s="101">
        <f t="shared" si="143"/>
        <v>0</v>
      </c>
      <c r="C251" s="102"/>
      <c r="D251" s="102"/>
      <c r="E251" s="102"/>
      <c r="F251" s="102"/>
      <c r="G251" s="102"/>
      <c r="H251" s="102"/>
      <c r="I251" s="102"/>
      <c r="J251" s="102"/>
      <c r="K251" s="102"/>
      <c r="L251" s="102"/>
      <c r="M251" s="102"/>
      <c r="N251" s="102"/>
    </row>
    <row r="252" spans="1:18" x14ac:dyDescent="0.3">
      <c r="A252" s="4" t="str">
        <f t="shared" si="134"/>
        <v>TRANSFERS/OTHER</v>
      </c>
      <c r="B252" s="101">
        <f t="shared" si="135"/>
        <v>0</v>
      </c>
      <c r="C252" s="102"/>
      <c r="D252" s="102"/>
      <c r="E252" s="102"/>
      <c r="F252" s="102"/>
      <c r="G252" s="102"/>
      <c r="H252" s="102"/>
      <c r="I252" s="102"/>
      <c r="J252" s="102"/>
      <c r="K252" s="102"/>
      <c r="L252" s="102"/>
      <c r="M252" s="102"/>
      <c r="N252" s="102"/>
    </row>
    <row r="253" spans="1:18" x14ac:dyDescent="0.3">
      <c r="A253" s="4" t="str">
        <f t="shared" si="134"/>
        <v>MTGE/DEED/TAXES/FEES</v>
      </c>
      <c r="B253" s="101">
        <f t="shared" si="135"/>
        <v>15443863</v>
      </c>
      <c r="C253" s="102">
        <v>601669</v>
      </c>
      <c r="D253" s="102">
        <v>1011668</v>
      </c>
      <c r="E253" s="102">
        <v>1077626</v>
      </c>
      <c r="F253" s="102">
        <f t="shared" ref="F253:N253" si="144">ROUND(F50*103%,-2)</f>
        <v>1252200</v>
      </c>
      <c r="G253" s="102">
        <f t="shared" si="144"/>
        <v>1138300</v>
      </c>
      <c r="H253" s="102">
        <f t="shared" si="144"/>
        <v>2234000</v>
      </c>
      <c r="I253" s="102">
        <f t="shared" si="144"/>
        <v>7700</v>
      </c>
      <c r="J253" s="102">
        <f t="shared" si="144"/>
        <v>2350600</v>
      </c>
      <c r="K253" s="102">
        <f t="shared" si="144"/>
        <v>1705100</v>
      </c>
      <c r="L253" s="102">
        <f t="shared" si="144"/>
        <v>1672500</v>
      </c>
      <c r="M253" s="102">
        <f t="shared" si="144"/>
        <v>2355700</v>
      </c>
      <c r="N253" s="102">
        <f t="shared" si="144"/>
        <v>36800</v>
      </c>
    </row>
    <row r="254" spans="1:18" x14ac:dyDescent="0.3">
      <c r="A254" s="4" t="str">
        <f t="shared" si="134"/>
        <v>DEBT PYMTS</v>
      </c>
      <c r="B254" s="101">
        <f t="shared" si="135"/>
        <v>33978715</v>
      </c>
      <c r="C254" s="102">
        <v>229838</v>
      </c>
      <c r="D254" s="102">
        <v>31711544</v>
      </c>
      <c r="E254" s="102">
        <v>282333</v>
      </c>
      <c r="F254" s="102"/>
      <c r="G254" s="102"/>
      <c r="H254" s="102"/>
      <c r="I254" s="102">
        <v>15000</v>
      </c>
      <c r="J254" s="102">
        <v>1740000</v>
      </c>
      <c r="K254" s="102"/>
      <c r="L254" s="102"/>
      <c r="M254" s="102"/>
      <c r="N254" s="102"/>
    </row>
    <row r="255" spans="1:18" x14ac:dyDescent="0.3">
      <c r="A255" s="4" t="str">
        <f t="shared" si="134"/>
        <v>TAX DISTRIBUTION PYMTS</v>
      </c>
      <c r="B255" s="101">
        <f t="shared" ref="B255:B259" si="145">SUM(C255:N255)</f>
        <v>423052393</v>
      </c>
      <c r="C255" s="102">
        <v>3963493</v>
      </c>
      <c r="D255" s="102"/>
      <c r="E255" s="102"/>
      <c r="F255" s="102">
        <f t="shared" ref="F255:N255" si="146">ROUND(F52*103%,-2)</f>
        <v>0</v>
      </c>
      <c r="G255" s="102">
        <f t="shared" si="146"/>
        <v>48719000</v>
      </c>
      <c r="H255" s="102">
        <f t="shared" si="146"/>
        <v>70436600</v>
      </c>
      <c r="I255" s="102">
        <f t="shared" si="146"/>
        <v>105455800</v>
      </c>
      <c r="J255" s="102">
        <f t="shared" si="146"/>
        <v>0</v>
      </c>
      <c r="K255" s="102">
        <f t="shared" si="146"/>
        <v>0</v>
      </c>
      <c r="L255" s="102">
        <f t="shared" si="146"/>
        <v>43239900</v>
      </c>
      <c r="M255" s="102">
        <f t="shared" si="146"/>
        <v>45596500</v>
      </c>
      <c r="N255" s="102">
        <f t="shared" si="146"/>
        <v>105641100</v>
      </c>
    </row>
    <row r="256" spans="1:18" x14ac:dyDescent="0.3">
      <c r="A256" s="4" t="str">
        <f t="shared" si="134"/>
        <v xml:space="preserve">INVESTMENT PURCHASES </v>
      </c>
      <c r="B256" s="101">
        <f t="shared" si="145"/>
        <v>28633628</v>
      </c>
      <c r="C256" s="102">
        <v>2249086</v>
      </c>
      <c r="D256" s="102">
        <v>6020624</v>
      </c>
      <c r="E256" s="102">
        <v>20363918</v>
      </c>
      <c r="F256" s="102">
        <v>0</v>
      </c>
      <c r="G256" s="102">
        <v>0</v>
      </c>
      <c r="H256" s="102">
        <v>0</v>
      </c>
      <c r="I256" s="102">
        <v>0</v>
      </c>
      <c r="J256" s="102">
        <v>0</v>
      </c>
      <c r="K256" s="102">
        <v>0</v>
      </c>
      <c r="L256" s="102">
        <v>0</v>
      </c>
      <c r="M256" s="102">
        <v>0</v>
      </c>
      <c r="N256" s="102">
        <v>0</v>
      </c>
    </row>
    <row r="257" spans="1:14" x14ac:dyDescent="0.3">
      <c r="A257" s="4" t="str">
        <f t="shared" si="134"/>
        <v>OTHER EXPENSES/USES</v>
      </c>
      <c r="B257" s="101">
        <f t="shared" si="145"/>
        <v>0</v>
      </c>
      <c r="C257" s="102"/>
      <c r="D257" s="102"/>
      <c r="E257" s="102"/>
      <c r="F257" s="102"/>
      <c r="G257" s="102"/>
      <c r="H257" s="102"/>
      <c r="I257" s="102"/>
      <c r="J257" s="102"/>
      <c r="K257" s="102"/>
      <c r="L257" s="102"/>
      <c r="M257" s="102"/>
      <c r="N257" s="102"/>
    </row>
    <row r="258" spans="1:14" x14ac:dyDescent="0.3">
      <c r="A258" s="4" t="str">
        <f t="shared" si="134"/>
        <v>OTHER EXPENSES/USES</v>
      </c>
      <c r="B258" s="101">
        <f t="shared" si="145"/>
        <v>0</v>
      </c>
      <c r="C258" s="102"/>
      <c r="D258" s="102"/>
      <c r="E258" s="102"/>
      <c r="F258" s="102"/>
      <c r="G258" s="102"/>
      <c r="H258" s="102"/>
      <c r="I258" s="102"/>
      <c r="J258" s="102"/>
      <c r="K258" s="102"/>
      <c r="L258" s="102"/>
      <c r="M258" s="102"/>
      <c r="N258" s="102"/>
    </row>
    <row r="259" spans="1:14" x14ac:dyDescent="0.3">
      <c r="A259" s="4" t="str">
        <f t="shared" si="134"/>
        <v>OTHER EXPENSES/USES</v>
      </c>
      <c r="B259" s="101">
        <f t="shared" si="145"/>
        <v>0</v>
      </c>
      <c r="C259" s="102"/>
      <c r="D259" s="102"/>
      <c r="E259" s="102"/>
      <c r="F259" s="102"/>
      <c r="G259" s="102"/>
      <c r="H259" s="102"/>
      <c r="I259" s="102"/>
      <c r="J259" s="102"/>
      <c r="K259" s="102"/>
      <c r="L259" s="102"/>
      <c r="M259" s="102"/>
      <c r="N259" s="102"/>
    </row>
    <row r="260" spans="1:14" x14ac:dyDescent="0.3">
      <c r="A260" s="4" t="str">
        <f t="shared" ref="A260:A273" si="147">A57</f>
        <v>OTHER EXPENSES/USES</v>
      </c>
      <c r="B260" s="101">
        <f t="shared" ref="B260:B273" si="148">SUM(C260:N260)</f>
        <v>0</v>
      </c>
      <c r="C260" s="102"/>
      <c r="D260" s="102"/>
      <c r="E260" s="102"/>
      <c r="F260" s="102"/>
      <c r="G260" s="102"/>
      <c r="H260" s="102"/>
      <c r="I260" s="102"/>
      <c r="J260" s="102"/>
      <c r="K260" s="102"/>
      <c r="L260" s="102"/>
      <c r="M260" s="102"/>
      <c r="N260" s="102"/>
    </row>
    <row r="261" spans="1:14" x14ac:dyDescent="0.3">
      <c r="A261" s="4" t="str">
        <f t="shared" si="147"/>
        <v>OTHER EXPENSES/USES</v>
      </c>
      <c r="B261" s="101">
        <f t="shared" si="148"/>
        <v>0</v>
      </c>
      <c r="C261" s="102"/>
      <c r="D261" s="102"/>
      <c r="E261" s="102"/>
      <c r="F261" s="102"/>
      <c r="G261" s="102"/>
      <c r="H261" s="102"/>
      <c r="I261" s="102"/>
      <c r="J261" s="102"/>
      <c r="K261" s="102"/>
      <c r="L261" s="102"/>
      <c r="M261" s="102"/>
      <c r="N261" s="102"/>
    </row>
    <row r="262" spans="1:14" x14ac:dyDescent="0.3">
      <c r="A262" s="4" t="str">
        <f t="shared" si="147"/>
        <v>OTHER EXPENSES/USES</v>
      </c>
      <c r="B262" s="101">
        <f t="shared" si="148"/>
        <v>0</v>
      </c>
      <c r="C262" s="102"/>
      <c r="D262" s="102"/>
      <c r="E262" s="102"/>
      <c r="F262" s="102"/>
      <c r="G262" s="102"/>
      <c r="H262" s="102"/>
      <c r="I262" s="102"/>
      <c r="J262" s="102"/>
      <c r="K262" s="102"/>
      <c r="L262" s="102"/>
      <c r="M262" s="102"/>
      <c r="N262" s="102"/>
    </row>
    <row r="263" spans="1:14" x14ac:dyDescent="0.3">
      <c r="A263" s="4" t="str">
        <f t="shared" si="147"/>
        <v>OTHER EXPENSES/USES</v>
      </c>
      <c r="B263" s="101">
        <f t="shared" si="148"/>
        <v>0</v>
      </c>
      <c r="C263" s="102"/>
      <c r="D263" s="102"/>
      <c r="E263" s="102"/>
      <c r="F263" s="102"/>
      <c r="G263" s="102"/>
      <c r="H263" s="102"/>
      <c r="I263" s="102"/>
      <c r="J263" s="102"/>
      <c r="K263" s="102"/>
      <c r="L263" s="102"/>
      <c r="M263" s="102"/>
      <c r="N263" s="102"/>
    </row>
    <row r="264" spans="1:14" x14ac:dyDescent="0.3">
      <c r="A264" s="4" t="str">
        <f t="shared" si="147"/>
        <v>OTHER EXPENSES/USES</v>
      </c>
      <c r="B264" s="101">
        <f t="shared" si="148"/>
        <v>0</v>
      </c>
      <c r="C264" s="102"/>
      <c r="D264" s="102"/>
      <c r="E264" s="102"/>
      <c r="F264" s="102"/>
      <c r="G264" s="102"/>
      <c r="H264" s="102"/>
      <c r="I264" s="102"/>
      <c r="J264" s="102"/>
      <c r="K264" s="102"/>
      <c r="L264" s="102"/>
      <c r="M264" s="102"/>
      <c r="N264" s="102"/>
    </row>
    <row r="265" spans="1:14" x14ac:dyDescent="0.3">
      <c r="A265" s="4" t="str">
        <f t="shared" si="147"/>
        <v>OTHER EXPENSES/USES</v>
      </c>
      <c r="B265" s="101">
        <f t="shared" si="148"/>
        <v>0</v>
      </c>
      <c r="C265" s="102"/>
      <c r="D265" s="102"/>
      <c r="E265" s="102"/>
      <c r="F265" s="102"/>
      <c r="G265" s="102"/>
      <c r="H265" s="102"/>
      <c r="I265" s="102"/>
      <c r="J265" s="102"/>
      <c r="K265" s="102"/>
      <c r="L265" s="102"/>
      <c r="M265" s="102"/>
      <c r="N265" s="102"/>
    </row>
    <row r="266" spans="1:14" x14ac:dyDescent="0.3">
      <c r="A266" s="4" t="str">
        <f t="shared" si="147"/>
        <v>OTHER EXPENSES/USES</v>
      </c>
      <c r="B266" s="101">
        <f t="shared" si="148"/>
        <v>0</v>
      </c>
      <c r="C266" s="102"/>
      <c r="D266" s="102"/>
      <c r="E266" s="102"/>
      <c r="F266" s="102"/>
      <c r="G266" s="102"/>
      <c r="H266" s="102"/>
      <c r="I266" s="102"/>
      <c r="J266" s="102"/>
      <c r="K266" s="102"/>
      <c r="L266" s="102"/>
      <c r="M266" s="102"/>
      <c r="N266" s="102"/>
    </row>
    <row r="267" spans="1:14" x14ac:dyDescent="0.3">
      <c r="A267" s="4" t="str">
        <f t="shared" si="147"/>
        <v>OTHER EXPENSES/USES</v>
      </c>
      <c r="B267" s="101">
        <f t="shared" si="148"/>
        <v>0</v>
      </c>
      <c r="C267" s="102"/>
      <c r="D267" s="102"/>
      <c r="E267" s="102"/>
      <c r="F267" s="102"/>
      <c r="G267" s="102"/>
      <c r="H267" s="102"/>
      <c r="I267" s="102"/>
      <c r="J267" s="102"/>
      <c r="K267" s="102"/>
      <c r="L267" s="102"/>
      <c r="M267" s="102"/>
      <c r="N267" s="102"/>
    </row>
    <row r="268" spans="1:14" x14ac:dyDescent="0.3">
      <c r="A268" s="4" t="str">
        <f t="shared" si="147"/>
        <v>OTHER EXPENSES/USES</v>
      </c>
      <c r="B268" s="101">
        <f t="shared" si="148"/>
        <v>0</v>
      </c>
      <c r="C268" s="102"/>
      <c r="D268" s="102"/>
      <c r="E268" s="102"/>
      <c r="F268" s="102"/>
      <c r="G268" s="102"/>
      <c r="H268" s="102"/>
      <c r="I268" s="102"/>
      <c r="J268" s="102"/>
      <c r="K268" s="102"/>
      <c r="L268" s="102"/>
      <c r="M268" s="102"/>
      <c r="N268" s="102"/>
    </row>
    <row r="269" spans="1:14" x14ac:dyDescent="0.3">
      <c r="A269" s="4" t="str">
        <f t="shared" si="147"/>
        <v>OTHER EXPENSES/USES</v>
      </c>
      <c r="B269" s="101">
        <f t="shared" si="148"/>
        <v>0</v>
      </c>
      <c r="C269" s="102"/>
      <c r="D269" s="102"/>
      <c r="E269" s="102"/>
      <c r="F269" s="102"/>
      <c r="G269" s="102"/>
      <c r="H269" s="102"/>
      <c r="I269" s="102"/>
      <c r="J269" s="102"/>
      <c r="K269" s="102"/>
      <c r="L269" s="102"/>
      <c r="M269" s="102"/>
      <c r="N269" s="102"/>
    </row>
    <row r="270" spans="1:14" x14ac:dyDescent="0.3">
      <c r="A270" s="4" t="str">
        <f t="shared" si="147"/>
        <v>OTHER EXPENSES/USES</v>
      </c>
      <c r="B270" s="101">
        <f t="shared" si="148"/>
        <v>0</v>
      </c>
      <c r="C270" s="102"/>
      <c r="D270" s="102"/>
      <c r="E270" s="102"/>
      <c r="F270" s="102"/>
      <c r="G270" s="102"/>
      <c r="H270" s="102"/>
      <c r="I270" s="102"/>
      <c r="J270" s="102"/>
      <c r="K270" s="102"/>
      <c r="L270" s="102"/>
      <c r="M270" s="102"/>
      <c r="N270" s="102"/>
    </row>
    <row r="271" spans="1:14" x14ac:dyDescent="0.3">
      <c r="A271" s="4" t="str">
        <f t="shared" si="147"/>
        <v>OTHER EXPENSES/USES</v>
      </c>
      <c r="B271" s="101">
        <f t="shared" si="148"/>
        <v>0</v>
      </c>
      <c r="C271" s="102"/>
      <c r="D271" s="102"/>
      <c r="E271" s="102"/>
      <c r="F271" s="102"/>
      <c r="G271" s="102"/>
      <c r="H271" s="102"/>
      <c r="I271" s="102"/>
      <c r="J271" s="102"/>
      <c r="K271" s="102"/>
      <c r="L271" s="102"/>
      <c r="M271" s="102"/>
      <c r="N271" s="102"/>
    </row>
    <row r="272" spans="1:14" x14ac:dyDescent="0.3">
      <c r="A272" s="4" t="str">
        <f t="shared" si="147"/>
        <v>OTHER EXPENSES/USES</v>
      </c>
      <c r="B272" s="101">
        <f t="shared" si="148"/>
        <v>0</v>
      </c>
      <c r="C272" s="102"/>
      <c r="D272" s="102"/>
      <c r="E272" s="102"/>
      <c r="F272" s="102"/>
      <c r="G272" s="102"/>
      <c r="H272" s="102"/>
      <c r="I272" s="102"/>
      <c r="J272" s="102"/>
      <c r="K272" s="102"/>
      <c r="L272" s="102"/>
      <c r="M272" s="102"/>
      <c r="N272" s="102"/>
    </row>
    <row r="273" spans="1:14" x14ac:dyDescent="0.3">
      <c r="A273" s="4" t="str">
        <f t="shared" si="147"/>
        <v>OTHER EXPENSES/USES</v>
      </c>
      <c r="B273" s="101">
        <f t="shared" si="148"/>
        <v>0</v>
      </c>
      <c r="C273" s="102"/>
      <c r="D273" s="102"/>
      <c r="E273" s="102"/>
      <c r="F273" s="102"/>
      <c r="G273" s="102"/>
      <c r="H273" s="102"/>
      <c r="I273" s="102"/>
      <c r="J273" s="102"/>
      <c r="K273" s="102"/>
      <c r="L273" s="102"/>
      <c r="M273" s="102"/>
      <c r="N273" s="102"/>
    </row>
    <row r="274" spans="1:14" x14ac:dyDescent="0.3">
      <c r="A274" s="40" t="s">
        <v>9</v>
      </c>
      <c r="B274" s="112">
        <f>SUM(B244:B273)</f>
        <v>956430885</v>
      </c>
      <c r="C274" s="112">
        <f>SUM(C244:C273)</f>
        <v>37230443</v>
      </c>
      <c r="D274" s="112">
        <f t="shared" ref="D274" si="149">SUM(D244:D273)</f>
        <v>68982454</v>
      </c>
      <c r="E274" s="112">
        <f t="shared" ref="E274" si="150">SUM(E244:E273)</f>
        <v>49468388</v>
      </c>
      <c r="F274" s="112">
        <f t="shared" ref="F274" si="151">SUM(F244:F273)</f>
        <v>32020800</v>
      </c>
      <c r="G274" s="112">
        <f t="shared" ref="G274" si="152">SUM(G244:G273)</f>
        <v>83970700</v>
      </c>
      <c r="H274" s="112">
        <f t="shared" ref="H274" si="153">SUM(H244:H273)</f>
        <v>135918400</v>
      </c>
      <c r="I274" s="112">
        <f t="shared" ref="I274" si="154">SUM(I244:I273)</f>
        <v>144180000</v>
      </c>
      <c r="J274" s="112">
        <f t="shared" ref="J274" si="155">SUM(J244:J273)</f>
        <v>39553200</v>
      </c>
      <c r="K274" s="112">
        <f t="shared" ref="K274" si="156">SUM(K244:K273)</f>
        <v>38701800</v>
      </c>
      <c r="L274" s="112">
        <f t="shared" ref="L274" si="157">SUM(L244:L273)</f>
        <v>84867700</v>
      </c>
      <c r="M274" s="112">
        <f t="shared" ref="M274" si="158">SUM(M244:M273)</f>
        <v>110566300</v>
      </c>
      <c r="N274" s="112">
        <f t="shared" ref="N274" si="159">SUM(N244:N273)</f>
        <v>130970700</v>
      </c>
    </row>
    <row r="275" spans="1:14" ht="15" thickBot="1" x14ac:dyDescent="0.35">
      <c r="A275" s="41" t="s">
        <v>10</v>
      </c>
      <c r="B275" s="113">
        <f t="shared" ref="B275:N275" si="160">B242-B274</f>
        <v>35034972</v>
      </c>
      <c r="C275" s="113">
        <f t="shared" si="160"/>
        <v>8941860</v>
      </c>
      <c r="D275" s="113">
        <f t="shared" si="160"/>
        <v>-25024366</v>
      </c>
      <c r="E275" s="113">
        <f t="shared" si="160"/>
        <v>-21317141</v>
      </c>
      <c r="F275" s="113">
        <f t="shared" si="160"/>
        <v>104972817</v>
      </c>
      <c r="G275" s="113">
        <f t="shared" si="160"/>
        <v>99205518</v>
      </c>
      <c r="H275" s="113">
        <f t="shared" si="160"/>
        <v>-47218812</v>
      </c>
      <c r="I275" s="113">
        <f t="shared" si="160"/>
        <v>-109138911</v>
      </c>
      <c r="J275" s="113">
        <f t="shared" si="160"/>
        <v>-6038745</v>
      </c>
      <c r="K275" s="113">
        <f t="shared" si="160"/>
        <v>32545258</v>
      </c>
      <c r="L275" s="113">
        <f t="shared" si="160"/>
        <v>133437662</v>
      </c>
      <c r="M275" s="113">
        <f t="shared" si="160"/>
        <v>-34307547</v>
      </c>
      <c r="N275" s="113">
        <f t="shared" si="160"/>
        <v>-101022621</v>
      </c>
    </row>
    <row r="276" spans="1:14" x14ac:dyDescent="0.3">
      <c r="A276" s="9" t="s">
        <v>166</v>
      </c>
      <c r="B276" s="114"/>
      <c r="C276" s="114">
        <f t="shared" ref="C276:N276" si="161">(C208-C275)*-1</f>
        <v>29367414.489718292</v>
      </c>
      <c r="D276" s="114">
        <f t="shared" si="161"/>
        <v>-11960968.324626472</v>
      </c>
      <c r="E276" s="114">
        <f t="shared" si="161"/>
        <v>-19732343.994346756</v>
      </c>
      <c r="F276" s="114">
        <f t="shared" si="161"/>
        <v>1325345.0422132462</v>
      </c>
      <c r="G276" s="114">
        <f t="shared" si="161"/>
        <v>6885780.5938644111</v>
      </c>
      <c r="H276" s="114">
        <f t="shared" si="161"/>
        <v>16206681.479450628</v>
      </c>
      <c r="I276" s="114">
        <f t="shared" si="161"/>
        <v>-9953524.7213626206</v>
      </c>
      <c r="J276" s="114">
        <f t="shared" si="161"/>
        <v>2558332.4284804612</v>
      </c>
      <c r="K276" s="114">
        <f t="shared" si="161"/>
        <v>5906189.2094362527</v>
      </c>
      <c r="L276" s="114">
        <f t="shared" si="161"/>
        <v>7372550.7809715271</v>
      </c>
      <c r="M276" s="114">
        <f t="shared" si="161"/>
        <v>45781721.583100006</v>
      </c>
      <c r="N276" s="114">
        <f t="shared" si="161"/>
        <v>-59390101.566898957</v>
      </c>
    </row>
    <row r="277" spans="1:14" x14ac:dyDescent="0.3">
      <c r="A277" s="9" t="s">
        <v>167</v>
      </c>
      <c r="B277" s="114"/>
      <c r="C277" s="114">
        <f>C276</f>
        <v>29367414.489718292</v>
      </c>
      <c r="D277" s="114">
        <f>C277+D276</f>
        <v>17406446.16509182</v>
      </c>
      <c r="E277" s="114">
        <f t="shared" ref="E277:G277" si="162">D277+E276</f>
        <v>-2325897.8292549364</v>
      </c>
      <c r="F277" s="114">
        <f t="shared" si="162"/>
        <v>-1000552.7870416902</v>
      </c>
      <c r="G277" s="114">
        <f t="shared" si="162"/>
        <v>5885227.8068227209</v>
      </c>
      <c r="H277" s="114">
        <f t="shared" ref="H277" si="163">G277+H276</f>
        <v>22091909.286273349</v>
      </c>
      <c r="I277" s="114">
        <f t="shared" ref="I277" si="164">H277+I276</f>
        <v>12138384.564910728</v>
      </c>
      <c r="J277" s="114">
        <f t="shared" ref="J277" si="165">I277+J276</f>
        <v>14696716.99339119</v>
      </c>
      <c r="K277" s="114">
        <f t="shared" ref="K277" si="166">J277+K276</f>
        <v>20602906.202827442</v>
      </c>
      <c r="L277" s="114">
        <f t="shared" ref="L277" si="167">K277+L276</f>
        <v>27975456.98379897</v>
      </c>
      <c r="M277" s="114">
        <f t="shared" ref="M277" si="168">L277+M276</f>
        <v>73757178.566898972</v>
      </c>
      <c r="N277" s="114">
        <f t="shared" ref="N277" si="169">M277+N276</f>
        <v>14367077.000000015</v>
      </c>
    </row>
    <row r="278" spans="1:14" x14ac:dyDescent="0.3">
      <c r="A278" s="37" t="s">
        <v>172</v>
      </c>
      <c r="B278" s="108"/>
      <c r="C278" s="109"/>
      <c r="D278" s="109"/>
      <c r="E278" s="109"/>
      <c r="F278" s="109"/>
      <c r="G278" s="109"/>
      <c r="H278" s="109"/>
      <c r="I278" s="109"/>
      <c r="J278" s="109"/>
      <c r="K278" s="109"/>
      <c r="L278" s="109"/>
      <c r="M278" s="109"/>
      <c r="N278" s="109"/>
    </row>
    <row r="279" spans="1:14" x14ac:dyDescent="0.3">
      <c r="A279" s="38"/>
      <c r="B279" s="39" t="str">
        <f>CONCATENATE("TOTAL-",RIGHT(B141,4)+1)</f>
        <v>TOTAL-2022</v>
      </c>
      <c r="C279" s="134" t="str">
        <f>CONCATENATE(LEFT(C141,4),RIGHT(C141,4)+1)</f>
        <v>JUL-2021</v>
      </c>
      <c r="D279" s="134" t="str">
        <f t="shared" ref="D279:N279" si="170">CONCATENATE(LEFT(D141,4),RIGHT(D141,4)+1)</f>
        <v>AUG-2021</v>
      </c>
      <c r="E279" s="134" t="str">
        <f t="shared" si="170"/>
        <v>SEP-2021</v>
      </c>
      <c r="F279" s="134" t="str">
        <f t="shared" si="170"/>
        <v>OCT-2021</v>
      </c>
      <c r="G279" s="134" t="str">
        <f t="shared" si="170"/>
        <v>NOV-2021</v>
      </c>
      <c r="H279" s="134" t="str">
        <f t="shared" si="170"/>
        <v>DEC-2021</v>
      </c>
      <c r="I279" s="134" t="str">
        <f t="shared" si="170"/>
        <v>JAN-2022</v>
      </c>
      <c r="J279" s="134" t="str">
        <f t="shared" si="170"/>
        <v>FEB-2022</v>
      </c>
      <c r="K279" s="134" t="str">
        <f t="shared" si="170"/>
        <v>MAR-2022</v>
      </c>
      <c r="L279" s="134" t="str">
        <f t="shared" si="170"/>
        <v>APR-2022</v>
      </c>
      <c r="M279" s="134" t="str">
        <f t="shared" si="170"/>
        <v>MAY-2022</v>
      </c>
      <c r="N279" s="134" t="str">
        <f t="shared" si="170"/>
        <v>JUN-2022</v>
      </c>
    </row>
    <row r="280" spans="1:14" x14ac:dyDescent="0.3">
      <c r="A280" s="10" t="s">
        <v>6</v>
      </c>
    </row>
    <row r="281" spans="1:14" x14ac:dyDescent="0.3">
      <c r="A281" s="4" t="str">
        <f t="shared" ref="A281:A310" si="171">A9</f>
        <v>PROPERTY TAX</v>
      </c>
      <c r="B281" s="101">
        <f>SUM(C281:N281)</f>
        <v>553918994</v>
      </c>
      <c r="C281" s="102">
        <f>C145</f>
        <v>3736996.5840561036</v>
      </c>
      <c r="D281" s="102">
        <f t="shared" ref="D281:N281" si="172">D145</f>
        <v>1967494.0796100977</v>
      </c>
      <c r="E281" s="102">
        <f t="shared" si="172"/>
        <v>8716273.4906834941</v>
      </c>
      <c r="F281" s="102">
        <f t="shared" si="172"/>
        <v>121025500.12074737</v>
      </c>
      <c r="G281" s="102">
        <f t="shared" si="172"/>
        <v>152310223.47702205</v>
      </c>
      <c r="H281" s="102">
        <f t="shared" si="172"/>
        <v>5758162.1952686682</v>
      </c>
      <c r="I281" s="102">
        <f t="shared" si="172"/>
        <v>4226393.3894069279</v>
      </c>
      <c r="J281" s="102">
        <f t="shared" si="172"/>
        <v>5523189.450137184</v>
      </c>
      <c r="K281" s="102">
        <f t="shared" si="172"/>
        <v>46558764.574297406</v>
      </c>
      <c r="L281" s="102">
        <f t="shared" si="172"/>
        <v>193518335.67282352</v>
      </c>
      <c r="M281" s="102">
        <f t="shared" si="172"/>
        <v>6043653.7899491796</v>
      </c>
      <c r="N281" s="102">
        <f t="shared" si="172"/>
        <v>4534007.1759979762</v>
      </c>
    </row>
    <row r="282" spans="1:14" x14ac:dyDescent="0.3">
      <c r="A282" s="4" t="str">
        <f t="shared" si="171"/>
        <v>SALES &amp; USE TAX</v>
      </c>
      <c r="B282" s="101">
        <f t="shared" ref="B282:B296" si="173">SUM(C282:N282)</f>
        <v>0</v>
      </c>
      <c r="C282" s="102">
        <f t="shared" ref="C282:N282" si="174">C146</f>
        <v>0</v>
      </c>
      <c r="D282" s="102">
        <f t="shared" si="174"/>
        <v>0</v>
      </c>
      <c r="E282" s="102">
        <f t="shared" si="174"/>
        <v>0</v>
      </c>
      <c r="F282" s="102">
        <f t="shared" si="174"/>
        <v>0</v>
      </c>
      <c r="G282" s="102">
        <f t="shared" si="174"/>
        <v>0</v>
      </c>
      <c r="H282" s="102">
        <f t="shared" si="174"/>
        <v>0</v>
      </c>
      <c r="I282" s="102">
        <f t="shared" si="174"/>
        <v>0</v>
      </c>
      <c r="J282" s="102">
        <f t="shared" si="174"/>
        <v>0</v>
      </c>
      <c r="K282" s="102">
        <f t="shared" si="174"/>
        <v>0</v>
      </c>
      <c r="L282" s="102">
        <f t="shared" si="174"/>
        <v>0</v>
      </c>
      <c r="M282" s="102">
        <f t="shared" si="174"/>
        <v>0</v>
      </c>
      <c r="N282" s="102">
        <f t="shared" si="174"/>
        <v>0</v>
      </c>
    </row>
    <row r="283" spans="1:14" x14ac:dyDescent="0.3">
      <c r="A283" s="4" t="str">
        <f t="shared" si="171"/>
        <v>FEES &amp; PERMITS</v>
      </c>
      <c r="B283" s="101">
        <f t="shared" si="173"/>
        <v>0</v>
      </c>
      <c r="C283" s="102">
        <f t="shared" ref="C283:N283" si="175">C147</f>
        <v>0</v>
      </c>
      <c r="D283" s="102">
        <f t="shared" si="175"/>
        <v>0</v>
      </c>
      <c r="E283" s="102">
        <f t="shared" si="175"/>
        <v>0</v>
      </c>
      <c r="F283" s="102">
        <f t="shared" si="175"/>
        <v>0</v>
      </c>
      <c r="G283" s="102">
        <f t="shared" si="175"/>
        <v>0</v>
      </c>
      <c r="H283" s="102">
        <f t="shared" si="175"/>
        <v>0</v>
      </c>
      <c r="I283" s="102">
        <f t="shared" si="175"/>
        <v>0</v>
      </c>
      <c r="J283" s="102">
        <f t="shared" si="175"/>
        <v>0</v>
      </c>
      <c r="K283" s="102">
        <f t="shared" si="175"/>
        <v>0</v>
      </c>
      <c r="L283" s="102">
        <f t="shared" si="175"/>
        <v>0</v>
      </c>
      <c r="M283" s="102">
        <f t="shared" si="175"/>
        <v>0</v>
      </c>
      <c r="N283" s="102">
        <f t="shared" si="175"/>
        <v>0</v>
      </c>
    </row>
    <row r="284" spans="1:14" x14ac:dyDescent="0.3">
      <c r="A284" s="4" t="str">
        <f t="shared" si="171"/>
        <v>FISCAL DISPARITIES</v>
      </c>
      <c r="B284" s="101">
        <f t="shared" si="173"/>
        <v>102628560</v>
      </c>
      <c r="C284" s="102">
        <f t="shared" ref="C284:N284" si="176">C148</f>
        <v>0</v>
      </c>
      <c r="D284" s="102">
        <f t="shared" si="176"/>
        <v>0</v>
      </c>
      <c r="E284" s="102">
        <f t="shared" si="176"/>
        <v>0</v>
      </c>
      <c r="F284" s="102">
        <f t="shared" si="176"/>
        <v>0</v>
      </c>
      <c r="G284" s="102">
        <f t="shared" si="176"/>
        <v>0</v>
      </c>
      <c r="H284" s="102">
        <f t="shared" si="176"/>
        <v>50085130.10097789</v>
      </c>
      <c r="I284" s="102">
        <f t="shared" si="176"/>
        <v>1229152.5120708353</v>
      </c>
      <c r="J284" s="102">
        <f t="shared" si="176"/>
        <v>0</v>
      </c>
      <c r="K284" s="102">
        <f t="shared" si="176"/>
        <v>0</v>
      </c>
      <c r="L284" s="102">
        <f t="shared" si="176"/>
        <v>0</v>
      </c>
      <c r="M284" s="102">
        <f t="shared" si="176"/>
        <v>51314277.386951275</v>
      </c>
      <c r="N284" s="102">
        <f t="shared" si="176"/>
        <v>0</v>
      </c>
    </row>
    <row r="285" spans="1:14" x14ac:dyDescent="0.3">
      <c r="A285" s="4" t="str">
        <f t="shared" si="171"/>
        <v>BUSINESS LICENSE TAXES</v>
      </c>
      <c r="B285" s="101">
        <f t="shared" si="173"/>
        <v>0</v>
      </c>
      <c r="C285" s="102">
        <f t="shared" ref="C285:N285" si="177">C149</f>
        <v>0</v>
      </c>
      <c r="D285" s="102">
        <f t="shared" si="177"/>
        <v>0</v>
      </c>
      <c r="E285" s="102">
        <f t="shared" si="177"/>
        <v>0</v>
      </c>
      <c r="F285" s="102">
        <f t="shared" si="177"/>
        <v>0</v>
      </c>
      <c r="G285" s="102">
        <f t="shared" si="177"/>
        <v>0</v>
      </c>
      <c r="H285" s="102">
        <f t="shared" si="177"/>
        <v>0</v>
      </c>
      <c r="I285" s="102">
        <f t="shared" si="177"/>
        <v>0</v>
      </c>
      <c r="J285" s="102">
        <f t="shared" si="177"/>
        <v>0</v>
      </c>
      <c r="K285" s="102">
        <f t="shared" si="177"/>
        <v>0</v>
      </c>
      <c r="L285" s="102">
        <f t="shared" si="177"/>
        <v>0</v>
      </c>
      <c r="M285" s="102">
        <f t="shared" si="177"/>
        <v>0</v>
      </c>
      <c r="N285" s="102">
        <f t="shared" si="177"/>
        <v>0</v>
      </c>
    </row>
    <row r="286" spans="1:14" x14ac:dyDescent="0.3">
      <c r="A286" s="4" t="str">
        <f t="shared" si="171"/>
        <v>INTRAGOVT SVC CHARGES</v>
      </c>
      <c r="B286" s="101">
        <f t="shared" si="173"/>
        <v>0</v>
      </c>
      <c r="C286" s="102">
        <f t="shared" ref="C286:N286" si="178">C150</f>
        <v>0</v>
      </c>
      <c r="D286" s="102">
        <f t="shared" si="178"/>
        <v>0</v>
      </c>
      <c r="E286" s="102">
        <f t="shared" si="178"/>
        <v>0</v>
      </c>
      <c r="F286" s="102">
        <f t="shared" si="178"/>
        <v>0</v>
      </c>
      <c r="G286" s="102">
        <f t="shared" si="178"/>
        <v>0</v>
      </c>
      <c r="H286" s="102">
        <f t="shared" si="178"/>
        <v>0</v>
      </c>
      <c r="I286" s="102">
        <f t="shared" si="178"/>
        <v>0</v>
      </c>
      <c r="J286" s="102">
        <f t="shared" si="178"/>
        <v>0</v>
      </c>
      <c r="K286" s="102">
        <f t="shared" si="178"/>
        <v>0</v>
      </c>
      <c r="L286" s="102">
        <f t="shared" si="178"/>
        <v>0</v>
      </c>
      <c r="M286" s="102">
        <f t="shared" si="178"/>
        <v>0</v>
      </c>
      <c r="N286" s="102">
        <f t="shared" si="178"/>
        <v>0</v>
      </c>
    </row>
    <row r="287" spans="1:14" x14ac:dyDescent="0.3">
      <c r="A287" s="4" t="str">
        <f t="shared" si="171"/>
        <v>INTERGOVT REVENUES</v>
      </c>
      <c r="B287" s="101">
        <f t="shared" si="173"/>
        <v>248583199.80000001</v>
      </c>
      <c r="C287" s="102">
        <f t="shared" ref="C287:N287" si="179">C151*1.01</f>
        <v>16202519.99225386</v>
      </c>
      <c r="D287" s="102">
        <f t="shared" si="179"/>
        <v>26544892.609666757</v>
      </c>
      <c r="E287" s="102">
        <f t="shared" si="179"/>
        <v>18824444.354062628</v>
      </c>
      <c r="F287" s="102">
        <f t="shared" si="179"/>
        <v>15022129.41933226</v>
      </c>
      <c r="G287" s="102">
        <f t="shared" si="179"/>
        <v>23639416.756006878</v>
      </c>
      <c r="H287" s="102">
        <f t="shared" si="179"/>
        <v>20721129.159123842</v>
      </c>
      <c r="I287" s="102">
        <f t="shared" si="179"/>
        <v>30707811.93720882</v>
      </c>
      <c r="J287" s="102">
        <f t="shared" si="179"/>
        <v>23015768.756740637</v>
      </c>
      <c r="K287" s="102">
        <f t="shared" si="179"/>
        <v>14730889.537784602</v>
      </c>
      <c r="L287" s="102">
        <f t="shared" si="179"/>
        <v>15714115.501929127</v>
      </c>
      <c r="M287" s="102">
        <f t="shared" si="179"/>
        <v>21359791.638698936</v>
      </c>
      <c r="N287" s="102">
        <f t="shared" si="179"/>
        <v>22100290.137191653</v>
      </c>
    </row>
    <row r="288" spans="1:14" x14ac:dyDescent="0.3">
      <c r="A288" s="4" t="str">
        <f t="shared" si="171"/>
        <v>REIMBURSEMENTS</v>
      </c>
      <c r="B288" s="101">
        <f t="shared" si="173"/>
        <v>0</v>
      </c>
      <c r="C288" s="102">
        <f t="shared" ref="C288:N288" si="180">C152</f>
        <v>0</v>
      </c>
      <c r="D288" s="102">
        <f t="shared" si="180"/>
        <v>0</v>
      </c>
      <c r="E288" s="102">
        <f t="shared" si="180"/>
        <v>0</v>
      </c>
      <c r="F288" s="102">
        <f t="shared" si="180"/>
        <v>0</v>
      </c>
      <c r="G288" s="102">
        <f t="shared" si="180"/>
        <v>0</v>
      </c>
      <c r="H288" s="102">
        <f t="shared" si="180"/>
        <v>0</v>
      </c>
      <c r="I288" s="102">
        <f t="shared" si="180"/>
        <v>0</v>
      </c>
      <c r="J288" s="102">
        <f t="shared" si="180"/>
        <v>0</v>
      </c>
      <c r="K288" s="102">
        <f t="shared" si="180"/>
        <v>0</v>
      </c>
      <c r="L288" s="102">
        <f t="shared" si="180"/>
        <v>0</v>
      </c>
      <c r="M288" s="102">
        <f t="shared" si="180"/>
        <v>0</v>
      </c>
      <c r="N288" s="102">
        <f t="shared" si="180"/>
        <v>0</v>
      </c>
    </row>
    <row r="289" spans="1:14" x14ac:dyDescent="0.3">
      <c r="A289" s="4" t="str">
        <f t="shared" si="171"/>
        <v>DONATIONS/CONTRIBS/ INV INCOME</v>
      </c>
      <c r="B289" s="101">
        <f t="shared" si="173"/>
        <v>4376965</v>
      </c>
      <c r="C289" s="102">
        <v>310127</v>
      </c>
      <c r="D289" s="102">
        <v>907608</v>
      </c>
      <c r="E289" s="102">
        <v>306422</v>
      </c>
      <c r="F289" s="102">
        <v>235580</v>
      </c>
      <c r="G289" s="102">
        <v>271341</v>
      </c>
      <c r="H289" s="102">
        <v>320284</v>
      </c>
      <c r="I289" s="102">
        <v>233799</v>
      </c>
      <c r="J289" s="102">
        <v>738039</v>
      </c>
      <c r="K289" s="102">
        <v>267045</v>
      </c>
      <c r="L289" s="102">
        <v>233853</v>
      </c>
      <c r="M289" s="102">
        <v>268482</v>
      </c>
      <c r="N289" s="102">
        <v>284385</v>
      </c>
    </row>
    <row r="290" spans="1:14" x14ac:dyDescent="0.3">
      <c r="A290" s="4" t="str">
        <f t="shared" si="171"/>
        <v>FINES &amp; FORFEITURES</v>
      </c>
      <c r="B290" s="101">
        <f t="shared" si="173"/>
        <v>0</v>
      </c>
      <c r="C290" s="102">
        <f t="shared" ref="C290:N290" si="181">C154</f>
        <v>0</v>
      </c>
      <c r="D290" s="102">
        <f t="shared" si="181"/>
        <v>0</v>
      </c>
      <c r="E290" s="102">
        <f t="shared" si="181"/>
        <v>0</v>
      </c>
      <c r="F290" s="102">
        <f t="shared" si="181"/>
        <v>0</v>
      </c>
      <c r="G290" s="102">
        <f t="shared" si="181"/>
        <v>0</v>
      </c>
      <c r="H290" s="102">
        <f t="shared" si="181"/>
        <v>0</v>
      </c>
      <c r="I290" s="102">
        <f t="shared" si="181"/>
        <v>0</v>
      </c>
      <c r="J290" s="102">
        <f t="shared" si="181"/>
        <v>0</v>
      </c>
      <c r="K290" s="102">
        <f t="shared" si="181"/>
        <v>0</v>
      </c>
      <c r="L290" s="102">
        <f t="shared" si="181"/>
        <v>0</v>
      </c>
      <c r="M290" s="102">
        <f t="shared" si="181"/>
        <v>0</v>
      </c>
      <c r="N290" s="102">
        <f t="shared" si="181"/>
        <v>0</v>
      </c>
    </row>
    <row r="291" spans="1:14" x14ac:dyDescent="0.3">
      <c r="A291" s="4" t="str">
        <f t="shared" si="171"/>
        <v>USE OF MONEY &amp; PROPERTY</v>
      </c>
      <c r="B291" s="101">
        <f t="shared" si="173"/>
        <v>0</v>
      </c>
      <c r="C291" s="102">
        <f t="shared" ref="C291:N291" si="182">C155</f>
        <v>0</v>
      </c>
      <c r="D291" s="102">
        <f t="shared" si="182"/>
        <v>0</v>
      </c>
      <c r="E291" s="102">
        <f t="shared" si="182"/>
        <v>0</v>
      </c>
      <c r="F291" s="102">
        <f t="shared" si="182"/>
        <v>0</v>
      </c>
      <c r="G291" s="102">
        <f t="shared" si="182"/>
        <v>0</v>
      </c>
      <c r="H291" s="102">
        <f t="shared" si="182"/>
        <v>0</v>
      </c>
      <c r="I291" s="102">
        <f t="shared" si="182"/>
        <v>0</v>
      </c>
      <c r="J291" s="102">
        <f t="shared" si="182"/>
        <v>0</v>
      </c>
      <c r="K291" s="102">
        <f t="shared" si="182"/>
        <v>0</v>
      </c>
      <c r="L291" s="102">
        <f t="shared" si="182"/>
        <v>0</v>
      </c>
      <c r="M291" s="102">
        <f t="shared" si="182"/>
        <v>0</v>
      </c>
      <c r="N291" s="102">
        <f t="shared" si="182"/>
        <v>0</v>
      </c>
    </row>
    <row r="292" spans="1:14" x14ac:dyDescent="0.3">
      <c r="A292" s="4" t="str">
        <f t="shared" si="171"/>
        <v>OTHER SOURCES / INV MATURITIES</v>
      </c>
      <c r="B292" s="101">
        <f t="shared" si="173"/>
        <v>43937000</v>
      </c>
      <c r="C292" s="102">
        <v>8447000</v>
      </c>
      <c r="D292" s="102">
        <f>10355000+2000000</f>
        <v>12355000</v>
      </c>
      <c r="E292" s="102">
        <f>2445000+8800000</f>
        <v>11245000</v>
      </c>
      <c r="F292" s="102">
        <f t="shared" ref="F292:L292" si="183">F156</f>
        <v>0</v>
      </c>
      <c r="G292" s="102">
        <f t="shared" si="183"/>
        <v>0</v>
      </c>
      <c r="H292" s="102">
        <v>2000000</v>
      </c>
      <c r="I292" s="102">
        <v>2475000</v>
      </c>
      <c r="J292" s="102">
        <v>965000</v>
      </c>
      <c r="K292" s="102">
        <f t="shared" si="183"/>
        <v>0</v>
      </c>
      <c r="L292" s="102">
        <f t="shared" si="183"/>
        <v>0</v>
      </c>
      <c r="M292" s="102">
        <v>6000000</v>
      </c>
      <c r="N292" s="102">
        <v>450000</v>
      </c>
    </row>
    <row r="293" spans="1:14" x14ac:dyDescent="0.3">
      <c r="A293" s="4" t="str">
        <f t="shared" si="171"/>
        <v>TRANSIT TAX</v>
      </c>
      <c r="B293" s="101">
        <f t="shared" si="173"/>
        <v>12000000.000000002</v>
      </c>
      <c r="C293" s="102">
        <f t="shared" ref="C293:N293" si="184">C157</f>
        <v>1009131.8033927582</v>
      </c>
      <c r="D293" s="102">
        <f t="shared" si="184"/>
        <v>1022769.554047266</v>
      </c>
      <c r="E293" s="102">
        <f t="shared" si="184"/>
        <v>889997.9578856834</v>
      </c>
      <c r="F293" s="102">
        <f t="shared" si="184"/>
        <v>779484.21403646725</v>
      </c>
      <c r="G293" s="102">
        <f t="shared" si="184"/>
        <v>970540.65892414039</v>
      </c>
      <c r="H293" s="102">
        <f t="shared" si="184"/>
        <v>943646.49498718767</v>
      </c>
      <c r="I293" s="102">
        <f t="shared" si="184"/>
        <v>1031123.4110891377</v>
      </c>
      <c r="J293" s="102">
        <f t="shared" si="184"/>
        <v>945454.88374252664</v>
      </c>
      <c r="K293" s="102">
        <f t="shared" si="184"/>
        <v>1231847.6474871889</v>
      </c>
      <c r="L293" s="102">
        <f t="shared" si="184"/>
        <v>1079250.4596609564</v>
      </c>
      <c r="M293" s="102">
        <f t="shared" si="184"/>
        <v>1048741.9880149583</v>
      </c>
      <c r="N293" s="102">
        <f t="shared" si="184"/>
        <v>1048010.9267317293</v>
      </c>
    </row>
    <row r="294" spans="1:14" x14ac:dyDescent="0.3">
      <c r="A294" s="4" t="str">
        <f t="shared" si="171"/>
        <v>PARK</v>
      </c>
      <c r="B294" s="101">
        <f t="shared" si="173"/>
        <v>5007943.4300000006</v>
      </c>
      <c r="C294" s="102">
        <f t="shared" ref="C294:N294" si="185">C158*1.03</f>
        <v>240121.92970850019</v>
      </c>
      <c r="D294" s="102">
        <f t="shared" si="185"/>
        <v>122078.6183055537</v>
      </c>
      <c r="E294" s="102">
        <f t="shared" si="185"/>
        <v>111500.16490600885</v>
      </c>
      <c r="F294" s="102">
        <f t="shared" si="185"/>
        <v>140672.70108596893</v>
      </c>
      <c r="G294" s="102">
        <f t="shared" si="185"/>
        <v>371964.13224482047</v>
      </c>
      <c r="H294" s="102">
        <f t="shared" si="185"/>
        <v>833658.9961093677</v>
      </c>
      <c r="I294" s="102">
        <f t="shared" si="185"/>
        <v>1509152.5463719619</v>
      </c>
      <c r="J294" s="102">
        <f t="shared" si="185"/>
        <v>1087524.2826826542</v>
      </c>
      <c r="K294" s="102">
        <f t="shared" si="185"/>
        <v>334263.51184910384</v>
      </c>
      <c r="L294" s="102">
        <f t="shared" si="185"/>
        <v>140607.26962099955</v>
      </c>
      <c r="M294" s="102">
        <f t="shared" si="185"/>
        <v>28171.269812655584</v>
      </c>
      <c r="N294" s="102">
        <f t="shared" si="185"/>
        <v>88228.00730240492</v>
      </c>
    </row>
    <row r="295" spans="1:14" x14ac:dyDescent="0.3">
      <c r="A295" s="4" t="str">
        <f t="shared" si="171"/>
        <v>LIBRARY</v>
      </c>
      <c r="B295" s="101">
        <f t="shared" si="173"/>
        <v>662904.91000000015</v>
      </c>
      <c r="C295" s="102">
        <f t="shared" ref="C295:N295" si="186">C159*1.03</f>
        <v>39462.088854483714</v>
      </c>
      <c r="D295" s="102">
        <f t="shared" si="186"/>
        <v>25539.414293645215</v>
      </c>
      <c r="E295" s="102">
        <f t="shared" si="186"/>
        <v>89882.972663800785</v>
      </c>
      <c r="F295" s="102">
        <f t="shared" si="186"/>
        <v>74393.117435301538</v>
      </c>
      <c r="G295" s="102">
        <f t="shared" si="186"/>
        <v>32124.07558192045</v>
      </c>
      <c r="H295" s="102">
        <f t="shared" si="186"/>
        <v>27534.102661732391</v>
      </c>
      <c r="I295" s="102">
        <f t="shared" si="186"/>
        <v>32731.970677892659</v>
      </c>
      <c r="J295" s="102">
        <f t="shared" si="186"/>
        <v>68865.755679300433</v>
      </c>
      <c r="K295" s="102">
        <f t="shared" si="186"/>
        <v>84455.71027180196</v>
      </c>
      <c r="L295" s="102">
        <f t="shared" si="186"/>
        <v>100458.05338995875</v>
      </c>
      <c r="M295" s="102">
        <f t="shared" si="186"/>
        <v>52661.649780576539</v>
      </c>
      <c r="N295" s="102">
        <f t="shared" si="186"/>
        <v>34795.998709585583</v>
      </c>
    </row>
    <row r="296" spans="1:14" x14ac:dyDescent="0.3">
      <c r="A296" s="4" t="str">
        <f t="shared" si="171"/>
        <v>FINANCING PROCEEDS</v>
      </c>
      <c r="B296" s="101">
        <f t="shared" si="173"/>
        <v>11548502</v>
      </c>
      <c r="C296" s="102">
        <f t="shared" ref="C296:N296" si="187">C160</f>
        <v>0</v>
      </c>
      <c r="D296" s="102">
        <f t="shared" si="187"/>
        <v>0</v>
      </c>
      <c r="E296" s="102">
        <f t="shared" si="187"/>
        <v>0</v>
      </c>
      <c r="F296" s="102">
        <f t="shared" si="187"/>
        <v>0</v>
      </c>
      <c r="G296" s="102">
        <f t="shared" si="187"/>
        <v>0</v>
      </c>
      <c r="H296" s="102">
        <f t="shared" si="187"/>
        <v>0</v>
      </c>
      <c r="I296" s="102">
        <f t="shared" si="187"/>
        <v>0</v>
      </c>
      <c r="J296" s="102">
        <f t="shared" si="187"/>
        <v>0</v>
      </c>
      <c r="K296" s="102">
        <f t="shared" si="187"/>
        <v>0</v>
      </c>
      <c r="L296" s="102">
        <f t="shared" si="187"/>
        <v>0</v>
      </c>
      <c r="M296" s="102">
        <f t="shared" si="187"/>
        <v>0</v>
      </c>
      <c r="N296" s="102">
        <f t="shared" si="187"/>
        <v>11548502</v>
      </c>
    </row>
    <row r="297" spans="1:14" x14ac:dyDescent="0.3">
      <c r="A297" s="4" t="str">
        <f t="shared" si="171"/>
        <v>OTHER NON-RECURRING SOURCES</v>
      </c>
      <c r="B297" s="101">
        <f t="shared" ref="B297:B310" si="188">SUM(C297:N297)</f>
        <v>0</v>
      </c>
      <c r="C297" s="102"/>
      <c r="D297" s="102"/>
      <c r="E297" s="102"/>
      <c r="F297" s="102"/>
      <c r="G297" s="102"/>
      <c r="H297" s="102"/>
      <c r="I297" s="102"/>
      <c r="J297" s="102"/>
      <c r="K297" s="102"/>
      <c r="L297" s="102"/>
      <c r="M297" s="102"/>
      <c r="N297" s="102"/>
    </row>
    <row r="298" spans="1:14" x14ac:dyDescent="0.3">
      <c r="A298" s="4" t="str">
        <f t="shared" si="171"/>
        <v>OTHER SOURCES</v>
      </c>
      <c r="B298" s="101">
        <f t="shared" si="188"/>
        <v>0</v>
      </c>
      <c r="C298" s="102"/>
      <c r="D298" s="102"/>
      <c r="E298" s="102"/>
      <c r="F298" s="102"/>
      <c r="G298" s="102"/>
      <c r="H298" s="102"/>
      <c r="I298" s="102"/>
      <c r="J298" s="102"/>
      <c r="K298" s="102"/>
      <c r="L298" s="102"/>
      <c r="M298" s="102"/>
      <c r="N298" s="102"/>
    </row>
    <row r="299" spans="1:14" x14ac:dyDescent="0.3">
      <c r="A299" s="4" t="str">
        <f t="shared" si="171"/>
        <v>OTHER SOURCES</v>
      </c>
      <c r="B299" s="101">
        <f t="shared" si="188"/>
        <v>0</v>
      </c>
      <c r="C299" s="102"/>
      <c r="D299" s="102"/>
      <c r="E299" s="102"/>
      <c r="F299" s="102"/>
      <c r="G299" s="102"/>
      <c r="H299" s="102"/>
      <c r="I299" s="102"/>
      <c r="J299" s="102"/>
      <c r="K299" s="102"/>
      <c r="L299" s="102"/>
      <c r="M299" s="102"/>
      <c r="N299" s="102"/>
    </row>
    <row r="300" spans="1:14" x14ac:dyDescent="0.3">
      <c r="A300" s="4" t="str">
        <f t="shared" si="171"/>
        <v>OTHER SOURCES</v>
      </c>
      <c r="B300" s="101">
        <f t="shared" si="188"/>
        <v>0</v>
      </c>
      <c r="C300" s="102"/>
      <c r="D300" s="102"/>
      <c r="E300" s="102"/>
      <c r="F300" s="102"/>
      <c r="G300" s="102"/>
      <c r="H300" s="102"/>
      <c r="I300" s="102"/>
      <c r="J300" s="102"/>
      <c r="K300" s="102"/>
      <c r="L300" s="102"/>
      <c r="M300" s="102"/>
      <c r="N300" s="102"/>
    </row>
    <row r="301" spans="1:14" x14ac:dyDescent="0.3">
      <c r="A301" s="4" t="str">
        <f t="shared" si="171"/>
        <v>OTHER SOURCES</v>
      </c>
      <c r="B301" s="101">
        <f t="shared" si="188"/>
        <v>0</v>
      </c>
      <c r="C301" s="102"/>
      <c r="D301" s="102"/>
      <c r="E301" s="102"/>
      <c r="F301" s="102"/>
      <c r="G301" s="102"/>
      <c r="H301" s="102"/>
      <c r="I301" s="102"/>
      <c r="J301" s="102"/>
      <c r="K301" s="102"/>
      <c r="L301" s="102"/>
      <c r="M301" s="102"/>
      <c r="N301" s="102"/>
    </row>
    <row r="302" spans="1:14" x14ac:dyDescent="0.3">
      <c r="A302" s="4" t="str">
        <f t="shared" si="171"/>
        <v>OTHER SOURCES</v>
      </c>
      <c r="B302" s="101">
        <f t="shared" si="188"/>
        <v>0</v>
      </c>
      <c r="C302" s="102"/>
      <c r="D302" s="102"/>
      <c r="E302" s="102"/>
      <c r="F302" s="102"/>
      <c r="G302" s="102"/>
      <c r="H302" s="102"/>
      <c r="I302" s="102"/>
      <c r="J302" s="102"/>
      <c r="K302" s="102"/>
      <c r="L302" s="102"/>
      <c r="M302" s="102"/>
      <c r="N302" s="102"/>
    </row>
    <row r="303" spans="1:14" x14ac:dyDescent="0.3">
      <c r="A303" s="4" t="str">
        <f t="shared" si="171"/>
        <v>OTHER SOURCES</v>
      </c>
      <c r="B303" s="101">
        <f t="shared" si="188"/>
        <v>0</v>
      </c>
      <c r="C303" s="102"/>
      <c r="D303" s="102"/>
      <c r="E303" s="102"/>
      <c r="F303" s="102"/>
      <c r="G303" s="102"/>
      <c r="H303" s="102"/>
      <c r="I303" s="102"/>
      <c r="J303" s="102"/>
      <c r="K303" s="102"/>
      <c r="L303" s="102"/>
      <c r="M303" s="102"/>
      <c r="N303" s="102"/>
    </row>
    <row r="304" spans="1:14" x14ac:dyDescent="0.3">
      <c r="A304" s="4" t="str">
        <f t="shared" si="171"/>
        <v>OTHER SOURCES</v>
      </c>
      <c r="B304" s="101">
        <f t="shared" si="188"/>
        <v>0</v>
      </c>
      <c r="C304" s="102"/>
      <c r="D304" s="102"/>
      <c r="E304" s="102"/>
      <c r="F304" s="102"/>
      <c r="G304" s="102"/>
      <c r="H304" s="102"/>
      <c r="I304" s="102"/>
      <c r="J304" s="102"/>
      <c r="K304" s="102"/>
      <c r="L304" s="102"/>
      <c r="M304" s="102"/>
      <c r="N304" s="102"/>
    </row>
    <row r="305" spans="1:14" x14ac:dyDescent="0.3">
      <c r="A305" s="4" t="str">
        <f t="shared" si="171"/>
        <v>OTHER SOURCES</v>
      </c>
      <c r="B305" s="101">
        <f t="shared" si="188"/>
        <v>0</v>
      </c>
      <c r="C305" s="102"/>
      <c r="D305" s="102"/>
      <c r="E305" s="102"/>
      <c r="F305" s="102"/>
      <c r="G305" s="102"/>
      <c r="H305" s="102"/>
      <c r="I305" s="102"/>
      <c r="J305" s="102"/>
      <c r="K305" s="102"/>
      <c r="L305" s="102"/>
      <c r="M305" s="102"/>
      <c r="N305" s="102"/>
    </row>
    <row r="306" spans="1:14" x14ac:dyDescent="0.3">
      <c r="A306" s="4" t="str">
        <f t="shared" si="171"/>
        <v>OTHER SOURCES</v>
      </c>
      <c r="B306" s="101">
        <f t="shared" si="188"/>
        <v>0</v>
      </c>
      <c r="C306" s="102"/>
      <c r="D306" s="102"/>
      <c r="E306" s="102"/>
      <c r="F306" s="102"/>
      <c r="G306" s="102"/>
      <c r="H306" s="102"/>
      <c r="I306" s="102"/>
      <c r="J306" s="102"/>
      <c r="K306" s="102"/>
      <c r="L306" s="102"/>
      <c r="M306" s="102"/>
      <c r="N306" s="102"/>
    </row>
    <row r="307" spans="1:14" x14ac:dyDescent="0.3">
      <c r="A307" s="4" t="str">
        <f t="shared" si="171"/>
        <v>OTHER SOURCES</v>
      </c>
      <c r="B307" s="101">
        <f t="shared" si="188"/>
        <v>0</v>
      </c>
      <c r="C307" s="102"/>
      <c r="D307" s="102"/>
      <c r="E307" s="102"/>
      <c r="F307" s="102"/>
      <c r="G307" s="102"/>
      <c r="H307" s="102"/>
      <c r="I307" s="102"/>
      <c r="J307" s="102"/>
      <c r="K307" s="102"/>
      <c r="L307" s="102"/>
      <c r="M307" s="102"/>
      <c r="N307" s="102"/>
    </row>
    <row r="308" spans="1:14" x14ac:dyDescent="0.3">
      <c r="A308" s="4" t="str">
        <f t="shared" si="171"/>
        <v>OTHER SOURCES</v>
      </c>
      <c r="B308" s="101">
        <f t="shared" si="188"/>
        <v>0</v>
      </c>
      <c r="C308" s="102"/>
      <c r="D308" s="102"/>
      <c r="E308" s="102"/>
      <c r="F308" s="102"/>
      <c r="G308" s="102"/>
      <c r="H308" s="102"/>
      <c r="I308" s="102"/>
      <c r="J308" s="102"/>
      <c r="K308" s="102"/>
      <c r="L308" s="102"/>
      <c r="M308" s="102"/>
      <c r="N308" s="102"/>
    </row>
    <row r="309" spans="1:14" x14ac:dyDescent="0.3">
      <c r="A309" s="4" t="str">
        <f t="shared" si="171"/>
        <v>OTHER SOURCES</v>
      </c>
      <c r="B309" s="101">
        <f t="shared" si="188"/>
        <v>0</v>
      </c>
      <c r="C309" s="102"/>
      <c r="D309" s="102"/>
      <c r="E309" s="102"/>
      <c r="F309" s="102"/>
      <c r="G309" s="102"/>
      <c r="H309" s="102"/>
      <c r="I309" s="102"/>
      <c r="J309" s="102"/>
      <c r="K309" s="102"/>
      <c r="L309" s="102"/>
      <c r="M309" s="102"/>
      <c r="N309" s="102"/>
    </row>
    <row r="310" spans="1:14" x14ac:dyDescent="0.3">
      <c r="A310" s="4" t="str">
        <f t="shared" si="171"/>
        <v>OTHER SOURCES</v>
      </c>
      <c r="B310" s="101">
        <f t="shared" si="188"/>
        <v>0</v>
      </c>
      <c r="C310" s="102">
        <f t="shared" ref="C310:N310" si="189">C174</f>
        <v>0</v>
      </c>
      <c r="D310" s="102">
        <f t="shared" si="189"/>
        <v>0</v>
      </c>
      <c r="E310" s="102">
        <f t="shared" si="189"/>
        <v>0</v>
      </c>
      <c r="F310" s="102">
        <f t="shared" si="189"/>
        <v>0</v>
      </c>
      <c r="G310" s="102">
        <f t="shared" si="189"/>
        <v>0</v>
      </c>
      <c r="H310" s="102">
        <f t="shared" si="189"/>
        <v>0</v>
      </c>
      <c r="I310" s="102">
        <f t="shared" si="189"/>
        <v>0</v>
      </c>
      <c r="J310" s="102">
        <f t="shared" si="189"/>
        <v>0</v>
      </c>
      <c r="K310" s="102">
        <f t="shared" si="189"/>
        <v>0</v>
      </c>
      <c r="L310" s="102">
        <f t="shared" si="189"/>
        <v>0</v>
      </c>
      <c r="M310" s="102">
        <f t="shared" si="189"/>
        <v>0</v>
      </c>
      <c r="N310" s="102">
        <f t="shared" si="189"/>
        <v>0</v>
      </c>
    </row>
    <row r="311" spans="1:14" x14ac:dyDescent="0.3">
      <c r="A311" s="40" t="s">
        <v>8</v>
      </c>
      <c r="B311" s="103">
        <f t="shared" ref="B311:N311" si="190">SUM(B281:B310)</f>
        <v>982664069.13999987</v>
      </c>
      <c r="C311" s="103">
        <f t="shared" si="190"/>
        <v>29985359.398265705</v>
      </c>
      <c r="D311" s="103">
        <f t="shared" si="190"/>
        <v>42945382.275923327</v>
      </c>
      <c r="E311" s="103">
        <f t="shared" si="190"/>
        <v>40183520.94020161</v>
      </c>
      <c r="F311" s="103">
        <f t="shared" si="190"/>
        <v>137277759.57263735</v>
      </c>
      <c r="G311" s="103">
        <f t="shared" si="190"/>
        <v>177595610.09977978</v>
      </c>
      <c r="H311" s="103">
        <f t="shared" si="190"/>
        <v>80689545.049128681</v>
      </c>
      <c r="I311" s="103">
        <f t="shared" si="190"/>
        <v>41445164.766825572</v>
      </c>
      <c r="J311" s="103">
        <f t="shared" si="190"/>
        <v>32343842.128982302</v>
      </c>
      <c r="K311" s="103">
        <f t="shared" si="190"/>
        <v>63207265.981690101</v>
      </c>
      <c r="L311" s="103">
        <f t="shared" si="190"/>
        <v>210786619.95742455</v>
      </c>
      <c r="M311" s="103">
        <f t="shared" si="190"/>
        <v>86115779.723207563</v>
      </c>
      <c r="N311" s="103">
        <f t="shared" si="190"/>
        <v>40088219.245933346</v>
      </c>
    </row>
    <row r="312" spans="1:14" x14ac:dyDescent="0.3">
      <c r="A312" s="10" t="s">
        <v>7</v>
      </c>
    </row>
    <row r="313" spans="1:14" x14ac:dyDescent="0.3">
      <c r="A313" s="4" t="str">
        <f t="shared" ref="A313:A328" si="191">A41</f>
        <v>SALARIES &amp; WAGES</v>
      </c>
      <c r="B313" s="101">
        <f t="shared" ref="B313:B328" si="192">SUM(C313:N313)</f>
        <v>121266600</v>
      </c>
      <c r="C313" s="102">
        <f t="shared" ref="C313:N313" si="193">C177*1.05</f>
        <v>9328200</v>
      </c>
      <c r="D313" s="102">
        <f t="shared" si="193"/>
        <v>9328200</v>
      </c>
      <c r="E313" s="102">
        <f t="shared" si="193"/>
        <v>9328200</v>
      </c>
      <c r="F313" s="102">
        <f t="shared" si="193"/>
        <v>9328200</v>
      </c>
      <c r="G313" s="102">
        <f t="shared" si="193"/>
        <v>13992300</v>
      </c>
      <c r="H313" s="102">
        <f t="shared" si="193"/>
        <v>9328200</v>
      </c>
      <c r="I313" s="102">
        <f t="shared" si="193"/>
        <v>9328200</v>
      </c>
      <c r="J313" s="102">
        <f t="shared" si="193"/>
        <v>9328200</v>
      </c>
      <c r="K313" s="102">
        <f t="shared" si="193"/>
        <v>9328200</v>
      </c>
      <c r="L313" s="102">
        <f t="shared" si="193"/>
        <v>13992300</v>
      </c>
      <c r="M313" s="102">
        <f t="shared" si="193"/>
        <v>9328200</v>
      </c>
      <c r="N313" s="102">
        <f t="shared" si="193"/>
        <v>9328200</v>
      </c>
    </row>
    <row r="314" spans="1:14" x14ac:dyDescent="0.3">
      <c r="A314" s="4" t="str">
        <f t="shared" si="191"/>
        <v>BENEFITS</v>
      </c>
      <c r="B314" s="101">
        <f t="shared" si="192"/>
        <v>24897600</v>
      </c>
      <c r="C314" s="102">
        <f t="shared" ref="C314:N314" si="194">C178*1.05</f>
        <v>1915200</v>
      </c>
      <c r="D314" s="102">
        <f t="shared" si="194"/>
        <v>1915200</v>
      </c>
      <c r="E314" s="102">
        <f t="shared" si="194"/>
        <v>1915200</v>
      </c>
      <c r="F314" s="102">
        <f t="shared" si="194"/>
        <v>1915200</v>
      </c>
      <c r="G314" s="102">
        <f t="shared" si="194"/>
        <v>2872800</v>
      </c>
      <c r="H314" s="102">
        <f t="shared" si="194"/>
        <v>1915200</v>
      </c>
      <c r="I314" s="102">
        <f t="shared" si="194"/>
        <v>1915200</v>
      </c>
      <c r="J314" s="102">
        <f t="shared" si="194"/>
        <v>1915200</v>
      </c>
      <c r="K314" s="102">
        <f t="shared" si="194"/>
        <v>1915200</v>
      </c>
      <c r="L314" s="102">
        <f t="shared" si="194"/>
        <v>2872800</v>
      </c>
      <c r="M314" s="102">
        <f t="shared" si="194"/>
        <v>1915200</v>
      </c>
      <c r="N314" s="102">
        <f t="shared" si="194"/>
        <v>1915200</v>
      </c>
    </row>
    <row r="315" spans="1:14" x14ac:dyDescent="0.3">
      <c r="A315" s="4" t="str">
        <f t="shared" si="191"/>
        <v>CONTRACTUAL SERVICES</v>
      </c>
      <c r="B315" s="101">
        <f t="shared" si="192"/>
        <v>244791476.83999997</v>
      </c>
      <c r="C315" s="102">
        <f>C179*1.03</f>
        <v>23731636.673070554</v>
      </c>
      <c r="D315" s="102">
        <f t="shared" ref="D315:N315" si="195">D179*1.03</f>
        <v>16527569.300072933</v>
      </c>
      <c r="E315" s="102">
        <f t="shared" si="195"/>
        <v>18402467.172665078</v>
      </c>
      <c r="F315" s="102">
        <f t="shared" si="195"/>
        <v>20240386.221541706</v>
      </c>
      <c r="G315" s="102">
        <f t="shared" si="195"/>
        <v>18550136.311541356</v>
      </c>
      <c r="H315" s="102">
        <f t="shared" si="195"/>
        <v>18735821.606973816</v>
      </c>
      <c r="I315" s="102">
        <f t="shared" si="195"/>
        <v>24567173.770916667</v>
      </c>
      <c r="J315" s="102">
        <f t="shared" si="195"/>
        <v>25341735.911865629</v>
      </c>
      <c r="K315" s="102">
        <f t="shared" si="195"/>
        <v>22921035.230921276</v>
      </c>
      <c r="L315" s="102">
        <f t="shared" si="195"/>
        <v>22329338.187687095</v>
      </c>
      <c r="M315" s="102">
        <f t="shared" si="195"/>
        <v>18956301.838910349</v>
      </c>
      <c r="N315" s="102">
        <f t="shared" si="195"/>
        <v>14487874.613833552</v>
      </c>
    </row>
    <row r="316" spans="1:14" x14ac:dyDescent="0.3">
      <c r="A316" s="4" t="str">
        <f t="shared" si="191"/>
        <v>UTILITIES</v>
      </c>
      <c r="B316" s="101">
        <f t="shared" si="192"/>
        <v>0</v>
      </c>
      <c r="C316" s="102">
        <f>C180</f>
        <v>0</v>
      </c>
      <c r="D316" s="102">
        <f t="shared" ref="D316:N316" si="196">D180</f>
        <v>0</v>
      </c>
      <c r="E316" s="102">
        <f t="shared" si="196"/>
        <v>0</v>
      </c>
      <c r="F316" s="102">
        <f t="shared" si="196"/>
        <v>0</v>
      </c>
      <c r="G316" s="102">
        <f t="shared" si="196"/>
        <v>0</v>
      </c>
      <c r="H316" s="102">
        <f t="shared" si="196"/>
        <v>0</v>
      </c>
      <c r="I316" s="102">
        <f t="shared" si="196"/>
        <v>0</v>
      </c>
      <c r="J316" s="102">
        <f t="shared" si="196"/>
        <v>0</v>
      </c>
      <c r="K316" s="102">
        <f t="shared" si="196"/>
        <v>0</v>
      </c>
      <c r="L316" s="102">
        <f t="shared" si="196"/>
        <v>0</v>
      </c>
      <c r="M316" s="102">
        <f t="shared" si="196"/>
        <v>0</v>
      </c>
      <c r="N316" s="102">
        <f t="shared" si="196"/>
        <v>0</v>
      </c>
    </row>
    <row r="317" spans="1:14" x14ac:dyDescent="0.3">
      <c r="A317" s="4" t="str">
        <f t="shared" si="191"/>
        <v>MAINTENANCE AND REPAIRS</v>
      </c>
      <c r="B317" s="101">
        <f t="shared" si="192"/>
        <v>0</v>
      </c>
      <c r="C317" s="102">
        <f t="shared" ref="C317:N317" si="197">C181</f>
        <v>0</v>
      </c>
      <c r="D317" s="102">
        <f t="shared" si="197"/>
        <v>0</v>
      </c>
      <c r="E317" s="102">
        <f t="shared" si="197"/>
        <v>0</v>
      </c>
      <c r="F317" s="102">
        <f t="shared" si="197"/>
        <v>0</v>
      </c>
      <c r="G317" s="102">
        <f t="shared" si="197"/>
        <v>0</v>
      </c>
      <c r="H317" s="102">
        <f t="shared" si="197"/>
        <v>0</v>
      </c>
      <c r="I317" s="102">
        <f t="shared" si="197"/>
        <v>0</v>
      </c>
      <c r="J317" s="102">
        <f t="shared" si="197"/>
        <v>0</v>
      </c>
      <c r="K317" s="102">
        <f t="shared" si="197"/>
        <v>0</v>
      </c>
      <c r="L317" s="102">
        <f t="shared" si="197"/>
        <v>0</v>
      </c>
      <c r="M317" s="102">
        <f t="shared" si="197"/>
        <v>0</v>
      </c>
      <c r="N317" s="102">
        <f t="shared" si="197"/>
        <v>0</v>
      </c>
    </row>
    <row r="318" spans="1:14" x14ac:dyDescent="0.3">
      <c r="A318" s="4" t="str">
        <f t="shared" si="191"/>
        <v>FISCAL DISPARITIES</v>
      </c>
      <c r="B318" s="101">
        <f t="shared" si="192"/>
        <v>69982347</v>
      </c>
      <c r="C318" s="102">
        <f t="shared" ref="C318:N318" si="198">C182</f>
        <v>0</v>
      </c>
      <c r="D318" s="102">
        <f t="shared" si="198"/>
        <v>0</v>
      </c>
      <c r="E318" s="102">
        <f t="shared" si="198"/>
        <v>0</v>
      </c>
      <c r="F318" s="102">
        <f t="shared" si="198"/>
        <v>0</v>
      </c>
      <c r="G318" s="102">
        <f t="shared" si="198"/>
        <v>0</v>
      </c>
      <c r="H318" s="102">
        <f t="shared" si="198"/>
        <v>34143531.13583982</v>
      </c>
      <c r="I318" s="102">
        <f t="shared" si="198"/>
        <v>847642.36416018405</v>
      </c>
      <c r="J318" s="102">
        <f t="shared" si="198"/>
        <v>0</v>
      </c>
      <c r="K318" s="102">
        <f t="shared" si="198"/>
        <v>0</v>
      </c>
      <c r="L318" s="102">
        <f t="shared" si="198"/>
        <v>0</v>
      </c>
      <c r="M318" s="102">
        <f t="shared" si="198"/>
        <v>34991173.5</v>
      </c>
      <c r="N318" s="102">
        <f t="shared" si="198"/>
        <v>0</v>
      </c>
    </row>
    <row r="319" spans="1:14" x14ac:dyDescent="0.3">
      <c r="A319" s="4" t="str">
        <f t="shared" si="191"/>
        <v>CAPITAL</v>
      </c>
      <c r="B319" s="101">
        <f t="shared" si="192"/>
        <v>0</v>
      </c>
      <c r="C319" s="102">
        <f t="shared" ref="C319:N319" si="199">C183</f>
        <v>0</v>
      </c>
      <c r="D319" s="102">
        <f t="shared" si="199"/>
        <v>0</v>
      </c>
      <c r="E319" s="102">
        <f t="shared" si="199"/>
        <v>0</v>
      </c>
      <c r="F319" s="102">
        <f t="shared" si="199"/>
        <v>0</v>
      </c>
      <c r="G319" s="102">
        <f t="shared" si="199"/>
        <v>0</v>
      </c>
      <c r="H319" s="102">
        <f t="shared" si="199"/>
        <v>0</v>
      </c>
      <c r="I319" s="102">
        <f t="shared" si="199"/>
        <v>0</v>
      </c>
      <c r="J319" s="102">
        <f t="shared" si="199"/>
        <v>0</v>
      </c>
      <c r="K319" s="102">
        <f t="shared" si="199"/>
        <v>0</v>
      </c>
      <c r="L319" s="102">
        <f t="shared" si="199"/>
        <v>0</v>
      </c>
      <c r="M319" s="102">
        <f t="shared" si="199"/>
        <v>0</v>
      </c>
      <c r="N319" s="102">
        <f t="shared" si="199"/>
        <v>0</v>
      </c>
    </row>
    <row r="320" spans="1:14" x14ac:dyDescent="0.3">
      <c r="A320" s="4" t="str">
        <f t="shared" si="191"/>
        <v>GRANTS</v>
      </c>
      <c r="B320" s="101">
        <f t="shared" si="192"/>
        <v>0</v>
      </c>
      <c r="C320" s="102">
        <f t="shared" ref="C320:N320" si="200">C184</f>
        <v>0</v>
      </c>
      <c r="D320" s="102">
        <f t="shared" si="200"/>
        <v>0</v>
      </c>
      <c r="E320" s="102">
        <f t="shared" si="200"/>
        <v>0</v>
      </c>
      <c r="F320" s="102">
        <f t="shared" si="200"/>
        <v>0</v>
      </c>
      <c r="G320" s="102">
        <f t="shared" si="200"/>
        <v>0</v>
      </c>
      <c r="H320" s="102">
        <f t="shared" si="200"/>
        <v>0</v>
      </c>
      <c r="I320" s="102">
        <f t="shared" si="200"/>
        <v>0</v>
      </c>
      <c r="J320" s="102">
        <f t="shared" si="200"/>
        <v>0</v>
      </c>
      <c r="K320" s="102">
        <f t="shared" si="200"/>
        <v>0</v>
      </c>
      <c r="L320" s="102">
        <f t="shared" si="200"/>
        <v>0</v>
      </c>
      <c r="M320" s="102">
        <f t="shared" si="200"/>
        <v>0</v>
      </c>
      <c r="N320" s="102">
        <f t="shared" si="200"/>
        <v>0</v>
      </c>
    </row>
    <row r="321" spans="1:14" x14ac:dyDescent="0.3">
      <c r="A321" s="4" t="str">
        <f t="shared" si="191"/>
        <v>TRANSFERS/OTHER</v>
      </c>
      <c r="B321" s="101">
        <f t="shared" si="192"/>
        <v>0</v>
      </c>
      <c r="C321" s="102">
        <f t="shared" ref="C321:N321" si="201">C185</f>
        <v>0</v>
      </c>
      <c r="D321" s="102">
        <f t="shared" si="201"/>
        <v>0</v>
      </c>
      <c r="E321" s="102">
        <f t="shared" si="201"/>
        <v>0</v>
      </c>
      <c r="F321" s="102">
        <f t="shared" si="201"/>
        <v>0</v>
      </c>
      <c r="G321" s="102">
        <f t="shared" si="201"/>
        <v>0</v>
      </c>
      <c r="H321" s="102">
        <f t="shared" si="201"/>
        <v>0</v>
      </c>
      <c r="I321" s="102">
        <f t="shared" si="201"/>
        <v>0</v>
      </c>
      <c r="J321" s="102">
        <f t="shared" si="201"/>
        <v>0</v>
      </c>
      <c r="K321" s="102">
        <f t="shared" si="201"/>
        <v>0</v>
      </c>
      <c r="L321" s="102">
        <f t="shared" si="201"/>
        <v>0</v>
      </c>
      <c r="M321" s="102">
        <f t="shared" si="201"/>
        <v>0</v>
      </c>
      <c r="N321" s="102">
        <f t="shared" si="201"/>
        <v>0</v>
      </c>
    </row>
    <row r="322" spans="1:14" x14ac:dyDescent="0.3">
      <c r="A322" s="4" t="str">
        <f t="shared" si="191"/>
        <v>MTGE/DEED/TAXES/FEES</v>
      </c>
      <c r="B322" s="101">
        <f t="shared" si="192"/>
        <v>15723917.000000002</v>
      </c>
      <c r="C322" s="102">
        <f t="shared" ref="C322:N322" si="202">C186</f>
        <v>1122266.1688904366</v>
      </c>
      <c r="D322" s="102">
        <f t="shared" si="202"/>
        <v>1110875.9518963306</v>
      </c>
      <c r="E322" s="102">
        <f t="shared" si="202"/>
        <v>934095.60537922417</v>
      </c>
      <c r="F322" s="102">
        <f t="shared" si="202"/>
        <v>1097513.6224283322</v>
      </c>
      <c r="G322" s="102">
        <f t="shared" si="202"/>
        <v>1112375.3923854386</v>
      </c>
      <c r="H322" s="102">
        <f t="shared" si="202"/>
        <v>2397616.6083717458</v>
      </c>
      <c r="I322" s="102">
        <f t="shared" si="202"/>
        <v>7644.6883952890485</v>
      </c>
      <c r="J322" s="102">
        <f t="shared" si="202"/>
        <v>2118929.1037224494</v>
      </c>
      <c r="K322" s="102">
        <f t="shared" si="202"/>
        <v>1635675.0020442579</v>
      </c>
      <c r="L322" s="102">
        <f t="shared" si="202"/>
        <v>1499665.3027607091</v>
      </c>
      <c r="M322" s="102">
        <f t="shared" si="202"/>
        <v>2047521.8351566198</v>
      </c>
      <c r="N322" s="102">
        <f t="shared" si="202"/>
        <v>639737.71856916661</v>
      </c>
    </row>
    <row r="323" spans="1:14" x14ac:dyDescent="0.3">
      <c r="A323" s="4" t="str">
        <f t="shared" si="191"/>
        <v>DEBT PYMTS</v>
      </c>
      <c r="B323" s="101">
        <f t="shared" si="192"/>
        <v>16061980</v>
      </c>
      <c r="C323" s="102">
        <f t="shared" ref="C323:N323" si="203">C187</f>
        <v>175379.8663562343</v>
      </c>
      <c r="D323" s="102">
        <f t="shared" si="203"/>
        <v>13691374.11849851</v>
      </c>
      <c r="E323" s="102">
        <f t="shared" si="203"/>
        <v>0</v>
      </c>
      <c r="F323" s="102">
        <f t="shared" si="203"/>
        <v>0</v>
      </c>
      <c r="G323" s="102">
        <f t="shared" si="203"/>
        <v>102718.29895195519</v>
      </c>
      <c r="H323" s="102">
        <f t="shared" si="203"/>
        <v>0</v>
      </c>
      <c r="I323" s="102">
        <f t="shared" si="203"/>
        <v>745191.66627070692</v>
      </c>
      <c r="J323" s="102">
        <f t="shared" si="203"/>
        <v>708021.65067660785</v>
      </c>
      <c r="K323" s="102">
        <f t="shared" si="203"/>
        <v>0</v>
      </c>
      <c r="L323" s="102">
        <f t="shared" si="203"/>
        <v>0</v>
      </c>
      <c r="M323" s="102">
        <f t="shared" si="203"/>
        <v>12677.850108197654</v>
      </c>
      <c r="N323" s="102">
        <f t="shared" si="203"/>
        <v>626616.54913778778</v>
      </c>
    </row>
    <row r="324" spans="1:14" x14ac:dyDescent="0.3">
      <c r="A324" s="4" t="str">
        <f t="shared" si="191"/>
        <v>TAX DISTRIBUTION PYMTS</v>
      </c>
      <c r="B324" s="101">
        <f t="shared" si="192"/>
        <v>421746356.46000004</v>
      </c>
      <c r="C324" s="102">
        <f>C188*1.03</f>
        <v>2751553.4222275172</v>
      </c>
      <c r="D324" s="102">
        <f t="shared" ref="D324:N324" si="204">D188*1.03</f>
        <v>0</v>
      </c>
      <c r="E324" s="102">
        <f t="shared" si="204"/>
        <v>324193.99220624636</v>
      </c>
      <c r="F324" s="102">
        <f t="shared" si="204"/>
        <v>0</v>
      </c>
      <c r="G324" s="102">
        <f t="shared" si="204"/>
        <v>48015155.799956083</v>
      </c>
      <c r="H324" s="102">
        <f t="shared" si="204"/>
        <v>74814730.993102148</v>
      </c>
      <c r="I324" s="102">
        <f t="shared" si="204"/>
        <v>102925944.22842866</v>
      </c>
      <c r="J324" s="102">
        <f t="shared" si="204"/>
        <v>0</v>
      </c>
      <c r="K324" s="102">
        <f t="shared" si="204"/>
        <v>0</v>
      </c>
      <c r="L324" s="102">
        <f t="shared" si="204"/>
        <v>42530922.656092271</v>
      </c>
      <c r="M324" s="102">
        <f t="shared" si="204"/>
        <v>96102965.979668304</v>
      </c>
      <c r="N324" s="102">
        <f t="shared" si="204"/>
        <v>54280889.388318785</v>
      </c>
    </row>
    <row r="325" spans="1:14" x14ac:dyDescent="0.3">
      <c r="A325" s="4" t="str">
        <f t="shared" si="191"/>
        <v xml:space="preserve">INVESTMENT PURCHASES </v>
      </c>
      <c r="B325" s="101">
        <f t="shared" si="192"/>
        <v>22413216.364110935</v>
      </c>
      <c r="C325" s="102">
        <v>0</v>
      </c>
      <c r="D325" s="102">
        <v>0</v>
      </c>
      <c r="E325" s="102">
        <v>0</v>
      </c>
      <c r="F325" s="102">
        <f t="shared" ref="F325:N325" si="205">F189</f>
        <v>2033152.3151538468</v>
      </c>
      <c r="G325" s="102">
        <f t="shared" si="205"/>
        <v>3187228.8200974627</v>
      </c>
      <c r="H325" s="102">
        <f t="shared" si="205"/>
        <v>4005548.504076005</v>
      </c>
      <c r="I325" s="102">
        <f t="shared" si="205"/>
        <v>1953138.3333500458</v>
      </c>
      <c r="J325" s="102">
        <f t="shared" si="205"/>
        <v>1595650.2024916438</v>
      </c>
      <c r="K325" s="102">
        <f t="shared" si="205"/>
        <v>1849315.7706679369</v>
      </c>
      <c r="L325" s="102">
        <f t="shared" si="205"/>
        <v>4162629.5659081391</v>
      </c>
      <c r="M325" s="102">
        <f t="shared" si="205"/>
        <v>901784.40590604534</v>
      </c>
      <c r="N325" s="102">
        <f t="shared" si="205"/>
        <v>2724768.446459814</v>
      </c>
    </row>
    <row r="326" spans="1:14" x14ac:dyDescent="0.3">
      <c r="A326" s="4" t="str">
        <f t="shared" si="191"/>
        <v>OTHER EXPENSES/USES</v>
      </c>
      <c r="B326" s="101">
        <f t="shared" si="192"/>
        <v>0</v>
      </c>
      <c r="C326" s="102"/>
      <c r="D326" s="102"/>
      <c r="E326" s="102"/>
      <c r="F326" s="102"/>
      <c r="G326" s="102"/>
      <c r="H326" s="102"/>
      <c r="I326" s="102"/>
      <c r="J326" s="102"/>
      <c r="K326" s="102"/>
      <c r="L326" s="102"/>
      <c r="M326" s="102"/>
      <c r="N326" s="102"/>
    </row>
    <row r="327" spans="1:14" x14ac:dyDescent="0.3">
      <c r="A327" s="4" t="str">
        <f t="shared" si="191"/>
        <v>OTHER EXPENSES/USES</v>
      </c>
      <c r="B327" s="101">
        <f t="shared" si="192"/>
        <v>0</v>
      </c>
      <c r="C327" s="102"/>
      <c r="D327" s="102"/>
      <c r="E327" s="102"/>
      <c r="F327" s="102"/>
      <c r="G327" s="102"/>
      <c r="H327" s="102"/>
      <c r="I327" s="102"/>
      <c r="J327" s="102"/>
      <c r="K327" s="102"/>
      <c r="L327" s="102"/>
      <c r="M327" s="102"/>
      <c r="N327" s="102"/>
    </row>
    <row r="328" spans="1:14" x14ac:dyDescent="0.3">
      <c r="A328" s="4" t="str">
        <f t="shared" si="191"/>
        <v>OTHER EXPENSES/USES</v>
      </c>
      <c r="B328" s="101">
        <f t="shared" si="192"/>
        <v>0</v>
      </c>
      <c r="C328" s="102"/>
      <c r="D328" s="102"/>
      <c r="E328" s="102"/>
      <c r="F328" s="102"/>
      <c r="G328" s="102"/>
      <c r="H328" s="102"/>
      <c r="I328" s="102"/>
      <c r="J328" s="102"/>
      <c r="K328" s="102"/>
      <c r="L328" s="102"/>
      <c r="M328" s="102"/>
      <c r="N328" s="102"/>
    </row>
    <row r="329" spans="1:14" x14ac:dyDescent="0.3">
      <c r="A329" s="4" t="str">
        <f t="shared" ref="A329:A342" si="206">A57</f>
        <v>OTHER EXPENSES/USES</v>
      </c>
      <c r="B329" s="101">
        <f t="shared" ref="B329:B342" si="207">SUM(C329:N329)</f>
        <v>0</v>
      </c>
      <c r="C329" s="102"/>
      <c r="D329" s="102"/>
      <c r="E329" s="102"/>
      <c r="F329" s="102"/>
      <c r="G329" s="102"/>
      <c r="H329" s="102"/>
      <c r="I329" s="102"/>
      <c r="J329" s="102"/>
      <c r="K329" s="102"/>
      <c r="L329" s="102"/>
      <c r="M329" s="102"/>
      <c r="N329" s="102"/>
    </row>
    <row r="330" spans="1:14" x14ac:dyDescent="0.3">
      <c r="A330" s="4" t="str">
        <f t="shared" si="206"/>
        <v>OTHER EXPENSES/USES</v>
      </c>
      <c r="B330" s="101">
        <f t="shared" si="207"/>
        <v>0</v>
      </c>
      <c r="C330" s="102"/>
      <c r="D330" s="102"/>
      <c r="E330" s="102"/>
      <c r="F330" s="102"/>
      <c r="G330" s="102"/>
      <c r="H330" s="102"/>
      <c r="I330" s="102"/>
      <c r="J330" s="102"/>
      <c r="K330" s="102"/>
      <c r="L330" s="102"/>
      <c r="M330" s="102"/>
      <c r="N330" s="102"/>
    </row>
    <row r="331" spans="1:14" x14ac:dyDescent="0.3">
      <c r="A331" s="4" t="str">
        <f t="shared" si="206"/>
        <v>OTHER EXPENSES/USES</v>
      </c>
      <c r="B331" s="101">
        <f t="shared" si="207"/>
        <v>0</v>
      </c>
      <c r="C331" s="102"/>
      <c r="D331" s="102"/>
      <c r="E331" s="102"/>
      <c r="F331" s="102"/>
      <c r="G331" s="102"/>
      <c r="H331" s="102"/>
      <c r="I331" s="102"/>
      <c r="J331" s="102"/>
      <c r="K331" s="102"/>
      <c r="L331" s="102"/>
      <c r="M331" s="102"/>
      <c r="N331" s="102"/>
    </row>
    <row r="332" spans="1:14" x14ac:dyDescent="0.3">
      <c r="A332" s="4" t="str">
        <f t="shared" si="206"/>
        <v>OTHER EXPENSES/USES</v>
      </c>
      <c r="B332" s="101">
        <f t="shared" si="207"/>
        <v>0</v>
      </c>
      <c r="C332" s="102"/>
      <c r="D332" s="102"/>
      <c r="E332" s="102"/>
      <c r="F332" s="102"/>
      <c r="G332" s="102"/>
      <c r="H332" s="102"/>
      <c r="I332" s="102"/>
      <c r="J332" s="102"/>
      <c r="K332" s="102"/>
      <c r="L332" s="102"/>
      <c r="M332" s="102"/>
      <c r="N332" s="102"/>
    </row>
    <row r="333" spans="1:14" x14ac:dyDescent="0.3">
      <c r="A333" s="4" t="str">
        <f t="shared" si="206"/>
        <v>OTHER EXPENSES/USES</v>
      </c>
      <c r="B333" s="101">
        <f t="shared" si="207"/>
        <v>0</v>
      </c>
      <c r="C333" s="102"/>
      <c r="D333" s="102"/>
      <c r="E333" s="102"/>
      <c r="F333" s="102"/>
      <c r="G333" s="102"/>
      <c r="H333" s="102"/>
      <c r="I333" s="102"/>
      <c r="J333" s="102"/>
      <c r="K333" s="102"/>
      <c r="L333" s="102"/>
      <c r="M333" s="102"/>
      <c r="N333" s="102"/>
    </row>
    <row r="334" spans="1:14" x14ac:dyDescent="0.3">
      <c r="A334" s="4" t="str">
        <f t="shared" si="206"/>
        <v>OTHER EXPENSES/USES</v>
      </c>
      <c r="B334" s="101">
        <f t="shared" si="207"/>
        <v>0</v>
      </c>
      <c r="C334" s="102"/>
      <c r="D334" s="102"/>
      <c r="E334" s="102"/>
      <c r="F334" s="102"/>
      <c r="G334" s="102"/>
      <c r="H334" s="102"/>
      <c r="I334" s="102"/>
      <c r="J334" s="102"/>
      <c r="K334" s="102"/>
      <c r="L334" s="102"/>
      <c r="M334" s="102"/>
      <c r="N334" s="102"/>
    </row>
    <row r="335" spans="1:14" x14ac:dyDescent="0.3">
      <c r="A335" s="4" t="str">
        <f t="shared" si="206"/>
        <v>OTHER EXPENSES/USES</v>
      </c>
      <c r="B335" s="101">
        <f t="shared" si="207"/>
        <v>0</v>
      </c>
      <c r="C335" s="102"/>
      <c r="D335" s="102"/>
      <c r="E335" s="102"/>
      <c r="F335" s="102"/>
      <c r="G335" s="102"/>
      <c r="H335" s="102"/>
      <c r="I335" s="102"/>
      <c r="J335" s="102"/>
      <c r="K335" s="102"/>
      <c r="L335" s="102"/>
      <c r="M335" s="102"/>
      <c r="N335" s="102"/>
    </row>
    <row r="336" spans="1:14" x14ac:dyDescent="0.3">
      <c r="A336" s="4" t="str">
        <f t="shared" si="206"/>
        <v>OTHER EXPENSES/USES</v>
      </c>
      <c r="B336" s="101">
        <f t="shared" si="207"/>
        <v>0</v>
      </c>
      <c r="C336" s="102"/>
      <c r="D336" s="102"/>
      <c r="E336" s="102"/>
      <c r="F336" s="102"/>
      <c r="G336" s="102"/>
      <c r="H336" s="102"/>
      <c r="I336" s="102"/>
      <c r="J336" s="102"/>
      <c r="K336" s="102"/>
      <c r="L336" s="102"/>
      <c r="M336" s="102"/>
      <c r="N336" s="102"/>
    </row>
    <row r="337" spans="1:14" x14ac:dyDescent="0.3">
      <c r="A337" s="4" t="str">
        <f t="shared" si="206"/>
        <v>OTHER EXPENSES/USES</v>
      </c>
      <c r="B337" s="101">
        <f t="shared" si="207"/>
        <v>0</v>
      </c>
      <c r="C337" s="102"/>
      <c r="D337" s="102"/>
      <c r="E337" s="102"/>
      <c r="F337" s="102"/>
      <c r="G337" s="102"/>
      <c r="H337" s="102"/>
      <c r="I337" s="102"/>
      <c r="J337" s="102"/>
      <c r="K337" s="102"/>
      <c r="L337" s="102"/>
      <c r="M337" s="102"/>
      <c r="N337" s="102"/>
    </row>
    <row r="338" spans="1:14" x14ac:dyDescent="0.3">
      <c r="A338" s="4" t="str">
        <f t="shared" si="206"/>
        <v>OTHER EXPENSES/USES</v>
      </c>
      <c r="B338" s="101">
        <f t="shared" si="207"/>
        <v>0</v>
      </c>
      <c r="C338" s="102"/>
      <c r="D338" s="102"/>
      <c r="E338" s="102"/>
      <c r="F338" s="102"/>
      <c r="G338" s="102"/>
      <c r="H338" s="102"/>
      <c r="I338" s="102"/>
      <c r="J338" s="102"/>
      <c r="K338" s="102"/>
      <c r="L338" s="102"/>
      <c r="M338" s="102"/>
      <c r="N338" s="102"/>
    </row>
    <row r="339" spans="1:14" x14ac:dyDescent="0.3">
      <c r="A339" s="4" t="str">
        <f t="shared" si="206"/>
        <v>OTHER EXPENSES/USES</v>
      </c>
      <c r="B339" s="101">
        <f t="shared" si="207"/>
        <v>0</v>
      </c>
      <c r="C339" s="102"/>
      <c r="D339" s="102"/>
      <c r="E339" s="102"/>
      <c r="F339" s="102"/>
      <c r="G339" s="102"/>
      <c r="H339" s="102"/>
      <c r="I339" s="102"/>
      <c r="J339" s="102"/>
      <c r="K339" s="102"/>
      <c r="L339" s="102"/>
      <c r="M339" s="102"/>
      <c r="N339" s="102"/>
    </row>
    <row r="340" spans="1:14" x14ac:dyDescent="0.3">
      <c r="A340" s="4" t="str">
        <f t="shared" si="206"/>
        <v>OTHER EXPENSES/USES</v>
      </c>
      <c r="B340" s="101">
        <f t="shared" si="207"/>
        <v>0</v>
      </c>
      <c r="C340" s="102"/>
      <c r="D340" s="102"/>
      <c r="E340" s="102"/>
      <c r="F340" s="102"/>
      <c r="G340" s="102"/>
      <c r="H340" s="102"/>
      <c r="I340" s="102"/>
      <c r="J340" s="102"/>
      <c r="K340" s="102"/>
      <c r="L340" s="102"/>
      <c r="M340" s="102"/>
      <c r="N340" s="102"/>
    </row>
    <row r="341" spans="1:14" x14ac:dyDescent="0.3">
      <c r="A341" s="4" t="str">
        <f t="shared" si="206"/>
        <v>OTHER EXPENSES/USES</v>
      </c>
      <c r="B341" s="101">
        <f t="shared" si="207"/>
        <v>0</v>
      </c>
      <c r="C341" s="102"/>
      <c r="D341" s="102"/>
      <c r="E341" s="102"/>
      <c r="F341" s="102"/>
      <c r="G341" s="102"/>
      <c r="H341" s="102"/>
      <c r="I341" s="102"/>
      <c r="J341" s="102"/>
      <c r="K341" s="102"/>
      <c r="L341" s="102"/>
      <c r="M341" s="102"/>
      <c r="N341" s="102"/>
    </row>
    <row r="342" spans="1:14" x14ac:dyDescent="0.3">
      <c r="A342" s="4" t="str">
        <f t="shared" si="206"/>
        <v>OTHER EXPENSES/USES</v>
      </c>
      <c r="B342" s="101">
        <f t="shared" si="207"/>
        <v>0</v>
      </c>
      <c r="C342" s="102"/>
      <c r="D342" s="102"/>
      <c r="E342" s="102"/>
      <c r="F342" s="102"/>
      <c r="G342" s="102"/>
      <c r="H342" s="102"/>
      <c r="I342" s="102"/>
      <c r="J342" s="102"/>
      <c r="K342" s="102"/>
      <c r="L342" s="102"/>
      <c r="M342" s="102"/>
      <c r="N342" s="102"/>
    </row>
    <row r="343" spans="1:14" x14ac:dyDescent="0.3">
      <c r="A343" s="40" t="s">
        <v>9</v>
      </c>
      <c r="B343" s="112">
        <f>SUM(B313:B342)</f>
        <v>936883493.6641109</v>
      </c>
      <c r="C343" s="112">
        <f>SUM(C313:C342)</f>
        <v>39024236.130544737</v>
      </c>
      <c r="D343" s="112">
        <f t="shared" ref="D343:N343" si="208">SUM(D313:D342)</f>
        <v>42573219.370467775</v>
      </c>
      <c r="E343" s="112">
        <f t="shared" si="208"/>
        <v>30904156.770250548</v>
      </c>
      <c r="F343" s="112">
        <f t="shared" si="208"/>
        <v>34614452.159123883</v>
      </c>
      <c r="G343" s="112">
        <f t="shared" si="208"/>
        <v>87832714.6229323</v>
      </c>
      <c r="H343" s="112">
        <f t="shared" si="208"/>
        <v>145340648.84836352</v>
      </c>
      <c r="I343" s="112">
        <f t="shared" si="208"/>
        <v>142290135.05152157</v>
      </c>
      <c r="J343" s="112">
        <f t="shared" si="208"/>
        <v>41007736.868756324</v>
      </c>
      <c r="K343" s="112">
        <f t="shared" si="208"/>
        <v>37649426.003633477</v>
      </c>
      <c r="L343" s="112">
        <f t="shared" si="208"/>
        <v>87387655.71244821</v>
      </c>
      <c r="M343" s="112">
        <f t="shared" si="208"/>
        <v>164255825.40974954</v>
      </c>
      <c r="N343" s="112">
        <f t="shared" si="208"/>
        <v>84003286.716319099</v>
      </c>
    </row>
    <row r="344" spans="1:14" ht="15" thickBot="1" x14ac:dyDescent="0.35">
      <c r="A344" s="41" t="s">
        <v>10</v>
      </c>
      <c r="B344" s="113">
        <f t="shared" ref="B344:N344" si="209">B311-B343</f>
        <v>45780575.475888968</v>
      </c>
      <c r="C344" s="113">
        <f t="shared" si="209"/>
        <v>-9038876.7322790325</v>
      </c>
      <c r="D344" s="113">
        <f t="shared" si="209"/>
        <v>372162.90545555204</v>
      </c>
      <c r="E344" s="113">
        <f t="shared" si="209"/>
        <v>9279364.1699510626</v>
      </c>
      <c r="F344" s="113">
        <f t="shared" si="209"/>
        <v>102663307.41351347</v>
      </c>
      <c r="G344" s="113">
        <f t="shared" si="209"/>
        <v>89762895.476847485</v>
      </c>
      <c r="H344" s="113">
        <f t="shared" si="209"/>
        <v>-64651103.799234837</v>
      </c>
      <c r="I344" s="113">
        <f t="shared" si="209"/>
        <v>-100844970.284696</v>
      </c>
      <c r="J344" s="113">
        <f t="shared" si="209"/>
        <v>-8663894.7397740223</v>
      </c>
      <c r="K344" s="113">
        <f t="shared" si="209"/>
        <v>25557839.978056625</v>
      </c>
      <c r="L344" s="113">
        <f t="shared" si="209"/>
        <v>123398964.24497634</v>
      </c>
      <c r="M344" s="113">
        <f t="shared" si="209"/>
        <v>-78140045.686541975</v>
      </c>
      <c r="N344" s="113">
        <f t="shared" si="209"/>
        <v>-43915067.470385753</v>
      </c>
    </row>
    <row r="345" spans="1:14" x14ac:dyDescent="0.3">
      <c r="A345" s="9"/>
      <c r="B345" s="114"/>
      <c r="C345" s="114"/>
      <c r="D345" s="114"/>
      <c r="E345" s="114"/>
      <c r="F345" s="114"/>
      <c r="G345" s="114"/>
      <c r="H345" s="114"/>
      <c r="I345" s="114"/>
      <c r="J345" s="114"/>
      <c r="K345" s="114"/>
      <c r="L345" s="114"/>
      <c r="M345" s="114"/>
      <c r="N345" s="114"/>
    </row>
    <row r="346" spans="1:14" ht="15" thickBot="1" x14ac:dyDescent="0.35">
      <c r="A346" s="37" t="s">
        <v>165</v>
      </c>
      <c r="B346" s="109"/>
      <c r="C346" s="109"/>
      <c r="D346" s="109"/>
      <c r="E346" s="109"/>
      <c r="F346" s="109"/>
      <c r="G346" s="110"/>
      <c r="H346" s="110"/>
      <c r="I346" s="110"/>
      <c r="J346" s="110"/>
      <c r="K346" s="110"/>
      <c r="L346" s="110"/>
      <c r="M346" s="110"/>
      <c r="N346" s="110"/>
    </row>
    <row r="347" spans="1:14" ht="15" thickBot="1" x14ac:dyDescent="0.35">
      <c r="A347" s="38"/>
      <c r="B347" s="111" t="str">
        <f>B74</f>
        <v>TOTAL-2019</v>
      </c>
      <c r="C347" s="111" t="str">
        <f>B7</f>
        <v>TOTAL-2020</v>
      </c>
      <c r="D347" s="111" t="str">
        <f>B210</f>
        <v>TOTAL-2021</v>
      </c>
      <c r="E347" s="111" t="str">
        <f>B279</f>
        <v>TOTAL-2022</v>
      </c>
      <c r="F347" s="111" t="s">
        <v>12</v>
      </c>
      <c r="G347" s="111" t="str">
        <f>CONCATENATE("INPUT ",(RIGHT(E347,4)+1))</f>
        <v>INPUT 2023</v>
      </c>
      <c r="H347" s="111" t="str">
        <f>CONCATENATE("TOTAL-",RIGHT(E347,4)+1)</f>
        <v>TOTAL-2023</v>
      </c>
      <c r="I347" s="170" t="s">
        <v>135</v>
      </c>
      <c r="J347" s="171"/>
      <c r="K347" s="171"/>
      <c r="L347" s="171"/>
      <c r="M347" s="171"/>
      <c r="N347" s="172"/>
    </row>
    <row r="348" spans="1:14" x14ac:dyDescent="0.3">
      <c r="A348" s="10" t="s">
        <v>6</v>
      </c>
      <c r="B348" s="104"/>
      <c r="C348" s="104"/>
      <c r="D348" s="104"/>
      <c r="E348" s="110"/>
      <c r="F348" s="110"/>
      <c r="G348" s="110"/>
      <c r="H348" s="110"/>
      <c r="I348" s="110"/>
      <c r="J348" s="110"/>
      <c r="K348" s="110"/>
      <c r="L348" s="110"/>
      <c r="M348" s="110"/>
      <c r="N348" s="110"/>
    </row>
    <row r="349" spans="1:14" x14ac:dyDescent="0.3">
      <c r="A349" s="4" t="str">
        <f t="shared" ref="A349:A378" si="210">A9</f>
        <v>PROPERTY TAX</v>
      </c>
      <c r="B349" s="101">
        <f t="shared" ref="B349:B378" si="211">B76</f>
        <v>510278023</v>
      </c>
      <c r="C349" s="101">
        <f t="shared" ref="C349:C378" si="212">B9</f>
        <v>547422147</v>
      </c>
      <c r="D349" s="101">
        <f t="shared" ref="D349:D378" si="213">B212</f>
        <v>558213162</v>
      </c>
      <c r="E349" s="107">
        <f t="shared" ref="E349:E364" si="214">B281</f>
        <v>553918994</v>
      </c>
      <c r="F349" s="115">
        <f>IFERROR(AVERAGE((E349/D349),(D349/C349),(C349/B349))-1,0)</f>
        <v>2.827055009058288E-2</v>
      </c>
      <c r="G349" s="116">
        <v>0.03</v>
      </c>
      <c r="H349" s="117">
        <f>IFERROR(E349*(1+G349),0)</f>
        <v>570536563.82000005</v>
      </c>
      <c r="I349" s="110"/>
      <c r="J349" s="110"/>
      <c r="K349" s="110"/>
      <c r="L349" s="110"/>
      <c r="M349" s="110"/>
      <c r="N349" s="110"/>
    </row>
    <row r="350" spans="1:14" x14ac:dyDescent="0.3">
      <c r="A350" s="4" t="str">
        <f t="shared" si="210"/>
        <v>SALES &amp; USE TAX</v>
      </c>
      <c r="B350" s="101">
        <f t="shared" si="211"/>
        <v>0</v>
      </c>
      <c r="C350" s="101">
        <f t="shared" si="212"/>
        <v>0</v>
      </c>
      <c r="D350" s="101">
        <f t="shared" si="213"/>
        <v>0</v>
      </c>
      <c r="E350" s="107">
        <f t="shared" si="214"/>
        <v>0</v>
      </c>
      <c r="F350" s="115">
        <f t="shared" ref="F350:F379" si="215">IFERROR(AVERAGE((E350/D350),(D350/C350),(C350/B350))-1,0)</f>
        <v>0</v>
      </c>
      <c r="G350" s="116">
        <v>0</v>
      </c>
      <c r="H350" s="117">
        <f t="shared" ref="H350:H364" si="216">IFERROR(E350*(1+G350),0)</f>
        <v>0</v>
      </c>
      <c r="I350" s="110"/>
      <c r="J350" s="110"/>
      <c r="K350" s="110"/>
      <c r="L350" s="110"/>
      <c r="M350" s="110"/>
      <c r="N350" s="110"/>
    </row>
    <row r="351" spans="1:14" x14ac:dyDescent="0.3">
      <c r="A351" s="4" t="str">
        <f t="shared" si="210"/>
        <v>FEES &amp; PERMITS</v>
      </c>
      <c r="B351" s="101">
        <f t="shared" si="211"/>
        <v>0</v>
      </c>
      <c r="C351" s="101">
        <f t="shared" si="212"/>
        <v>0</v>
      </c>
      <c r="D351" s="101">
        <f t="shared" si="213"/>
        <v>0</v>
      </c>
      <c r="E351" s="107">
        <f t="shared" si="214"/>
        <v>0</v>
      </c>
      <c r="F351" s="115">
        <f t="shared" si="215"/>
        <v>0</v>
      </c>
      <c r="G351" s="116">
        <v>0</v>
      </c>
      <c r="H351" s="117">
        <f t="shared" si="216"/>
        <v>0</v>
      </c>
      <c r="I351" s="110"/>
      <c r="J351" s="110"/>
      <c r="K351" s="110"/>
      <c r="L351" s="110"/>
      <c r="M351" s="110"/>
      <c r="N351" s="110"/>
    </row>
    <row r="352" spans="1:14" x14ac:dyDescent="0.3">
      <c r="A352" s="4" t="str">
        <f t="shared" si="210"/>
        <v>FISCAL DISPARITIES</v>
      </c>
      <c r="B352" s="101">
        <f t="shared" si="211"/>
        <v>96723908</v>
      </c>
      <c r="C352" s="101">
        <f t="shared" si="212"/>
        <v>99653142</v>
      </c>
      <c r="D352" s="101">
        <f t="shared" si="213"/>
        <v>102642800</v>
      </c>
      <c r="E352" s="107">
        <f t="shared" si="214"/>
        <v>102628560</v>
      </c>
      <c r="F352" s="115">
        <f t="shared" si="215"/>
        <v>2.0048797915627636E-2</v>
      </c>
      <c r="G352" s="116">
        <v>0</v>
      </c>
      <c r="H352" s="117">
        <f t="shared" si="216"/>
        <v>102628560</v>
      </c>
      <c r="I352" s="110"/>
      <c r="J352" s="110"/>
      <c r="K352" s="110"/>
      <c r="L352" s="110"/>
      <c r="M352" s="110"/>
      <c r="N352" s="110"/>
    </row>
    <row r="353" spans="1:14" x14ac:dyDescent="0.3">
      <c r="A353" s="4" t="str">
        <f t="shared" si="210"/>
        <v>BUSINESS LICENSE TAXES</v>
      </c>
      <c r="B353" s="101">
        <f t="shared" si="211"/>
        <v>0</v>
      </c>
      <c r="C353" s="101">
        <f t="shared" si="212"/>
        <v>0</v>
      </c>
      <c r="D353" s="101">
        <f t="shared" si="213"/>
        <v>0</v>
      </c>
      <c r="E353" s="107">
        <f t="shared" si="214"/>
        <v>0</v>
      </c>
      <c r="F353" s="115">
        <f t="shared" si="215"/>
        <v>0</v>
      </c>
      <c r="G353" s="116">
        <v>0</v>
      </c>
      <c r="H353" s="117">
        <f t="shared" si="216"/>
        <v>0</v>
      </c>
      <c r="I353" s="110"/>
      <c r="J353" s="110"/>
      <c r="K353" s="110"/>
      <c r="L353" s="110"/>
      <c r="M353" s="110"/>
      <c r="N353" s="110"/>
    </row>
    <row r="354" spans="1:14" x14ac:dyDescent="0.3">
      <c r="A354" s="4" t="str">
        <f t="shared" si="210"/>
        <v>INTRAGOVT SVC CHARGES</v>
      </c>
      <c r="B354" s="101">
        <f t="shared" si="211"/>
        <v>0</v>
      </c>
      <c r="C354" s="101">
        <f t="shared" si="212"/>
        <v>0</v>
      </c>
      <c r="D354" s="101">
        <f t="shared" si="213"/>
        <v>0</v>
      </c>
      <c r="E354" s="107">
        <f t="shared" si="214"/>
        <v>0</v>
      </c>
      <c r="F354" s="115">
        <f t="shared" si="215"/>
        <v>0</v>
      </c>
      <c r="G354" s="116">
        <v>0</v>
      </c>
      <c r="H354" s="117">
        <f t="shared" si="216"/>
        <v>0</v>
      </c>
      <c r="I354" s="110"/>
      <c r="J354" s="110"/>
      <c r="K354" s="110"/>
      <c r="L354" s="110"/>
      <c r="M354" s="110"/>
      <c r="N354" s="110"/>
    </row>
    <row r="355" spans="1:14" x14ac:dyDescent="0.3">
      <c r="A355" s="4" t="str">
        <f t="shared" si="210"/>
        <v>INTERGOVT REVENUES</v>
      </c>
      <c r="B355" s="101">
        <f t="shared" si="211"/>
        <v>241047547</v>
      </c>
      <c r="C355" s="101">
        <f t="shared" si="212"/>
        <v>239927511</v>
      </c>
      <c r="D355" s="101">
        <f t="shared" si="213"/>
        <v>242383168</v>
      </c>
      <c r="E355" s="107">
        <f t="shared" si="214"/>
        <v>248583199.80000001</v>
      </c>
      <c r="F355" s="115">
        <f t="shared" si="215"/>
        <v>1.0389308369677108E-2</v>
      </c>
      <c r="G355" s="116">
        <v>0.01</v>
      </c>
      <c r="H355" s="117">
        <f t="shared" si="216"/>
        <v>251069031.79800001</v>
      </c>
      <c r="I355" s="110"/>
      <c r="J355" s="110"/>
      <c r="K355" s="110"/>
      <c r="L355" s="110"/>
      <c r="M355" s="110"/>
      <c r="N355" s="110"/>
    </row>
    <row r="356" spans="1:14" x14ac:dyDescent="0.3">
      <c r="A356" s="4" t="str">
        <f t="shared" si="210"/>
        <v>REIMBURSEMENTS</v>
      </c>
      <c r="B356" s="101">
        <f t="shared" si="211"/>
        <v>0</v>
      </c>
      <c r="C356" s="101">
        <f t="shared" si="212"/>
        <v>0</v>
      </c>
      <c r="D356" s="101">
        <f t="shared" si="213"/>
        <v>0</v>
      </c>
      <c r="E356" s="107">
        <f t="shared" si="214"/>
        <v>0</v>
      </c>
      <c r="F356" s="115">
        <f t="shared" si="215"/>
        <v>0</v>
      </c>
      <c r="G356" s="116">
        <v>0</v>
      </c>
      <c r="H356" s="117">
        <f t="shared" si="216"/>
        <v>0</v>
      </c>
      <c r="I356" s="110"/>
      <c r="J356" s="110"/>
      <c r="K356" s="110"/>
      <c r="L356" s="110"/>
      <c r="M356" s="110"/>
      <c r="N356" s="110"/>
    </row>
    <row r="357" spans="1:14" x14ac:dyDescent="0.3">
      <c r="A357" s="4" t="str">
        <f t="shared" si="210"/>
        <v>DONATIONS/CONTRIBS/ INV INCOME</v>
      </c>
      <c r="B357" s="101">
        <f t="shared" si="211"/>
        <v>5633100</v>
      </c>
      <c r="C357" s="101">
        <f t="shared" si="212"/>
        <v>7036993</v>
      </c>
      <c r="D357" s="101">
        <f t="shared" si="213"/>
        <v>5674163</v>
      </c>
      <c r="E357" s="107">
        <f t="shared" si="214"/>
        <v>4376965</v>
      </c>
      <c r="F357" s="115">
        <f t="shared" si="215"/>
        <v>-5.7686431108845415E-2</v>
      </c>
      <c r="G357" s="116">
        <v>-0.15</v>
      </c>
      <c r="H357" s="117">
        <f t="shared" si="216"/>
        <v>3720420.25</v>
      </c>
      <c r="I357" s="110"/>
      <c r="J357" s="110"/>
      <c r="K357" s="110"/>
      <c r="L357" s="110"/>
      <c r="M357" s="110"/>
      <c r="N357" s="110"/>
    </row>
    <row r="358" spans="1:14" x14ac:dyDescent="0.3">
      <c r="A358" s="4" t="str">
        <f t="shared" si="210"/>
        <v>FINES &amp; FORFEITURES</v>
      </c>
      <c r="B358" s="101">
        <f t="shared" si="211"/>
        <v>0</v>
      </c>
      <c r="C358" s="101">
        <f t="shared" si="212"/>
        <v>0</v>
      </c>
      <c r="D358" s="101">
        <f t="shared" si="213"/>
        <v>0</v>
      </c>
      <c r="E358" s="107">
        <f t="shared" si="214"/>
        <v>0</v>
      </c>
      <c r="F358" s="115">
        <f t="shared" si="215"/>
        <v>0</v>
      </c>
      <c r="G358" s="116">
        <v>0</v>
      </c>
      <c r="H358" s="117">
        <f t="shared" si="216"/>
        <v>0</v>
      </c>
      <c r="I358" s="110"/>
      <c r="J358" s="110"/>
      <c r="K358" s="110"/>
      <c r="L358" s="110"/>
      <c r="M358" s="110"/>
      <c r="N358" s="110"/>
    </row>
    <row r="359" spans="1:14" x14ac:dyDescent="0.3">
      <c r="A359" s="4" t="str">
        <f t="shared" si="210"/>
        <v>USE OF MONEY &amp; PROPERTY</v>
      </c>
      <c r="B359" s="101">
        <f t="shared" si="211"/>
        <v>0</v>
      </c>
      <c r="C359" s="101">
        <f t="shared" si="212"/>
        <v>0</v>
      </c>
      <c r="D359" s="101">
        <f t="shared" si="213"/>
        <v>0</v>
      </c>
      <c r="E359" s="107">
        <f t="shared" si="214"/>
        <v>0</v>
      </c>
      <c r="F359" s="115">
        <f t="shared" si="215"/>
        <v>0</v>
      </c>
      <c r="G359" s="116">
        <v>0</v>
      </c>
      <c r="H359" s="117">
        <f t="shared" si="216"/>
        <v>0</v>
      </c>
      <c r="I359" s="110"/>
      <c r="J359" s="110"/>
      <c r="K359" s="110"/>
      <c r="L359" s="110"/>
      <c r="M359" s="110"/>
      <c r="N359" s="110"/>
    </row>
    <row r="360" spans="1:14" x14ac:dyDescent="0.3">
      <c r="A360" s="4" t="str">
        <f t="shared" si="210"/>
        <v>OTHER SOURCES / INV MATURITIES</v>
      </c>
      <c r="B360" s="101">
        <f t="shared" si="211"/>
        <v>72473335</v>
      </c>
      <c r="C360" s="101">
        <f t="shared" si="212"/>
        <v>71767798.629999995</v>
      </c>
      <c r="D360" s="101">
        <f t="shared" si="213"/>
        <v>58198891</v>
      </c>
      <c r="E360" s="107">
        <f t="shared" si="214"/>
        <v>43937000</v>
      </c>
      <c r="F360" s="115">
        <f t="shared" si="215"/>
        <v>-0.14795208470624077</v>
      </c>
      <c r="G360" s="116">
        <v>0</v>
      </c>
      <c r="H360" s="117">
        <f t="shared" si="216"/>
        <v>43937000</v>
      </c>
      <c r="I360" s="110"/>
      <c r="J360" s="110"/>
      <c r="K360" s="110"/>
      <c r="L360" s="110"/>
      <c r="M360" s="110"/>
      <c r="N360" s="110"/>
    </row>
    <row r="361" spans="1:14" x14ac:dyDescent="0.3">
      <c r="A361" s="4" t="str">
        <f t="shared" si="210"/>
        <v>TRANSIT TAX</v>
      </c>
      <c r="B361" s="101">
        <f t="shared" si="211"/>
        <v>11692376</v>
      </c>
      <c r="C361" s="101">
        <f t="shared" si="212"/>
        <v>12601073</v>
      </c>
      <c r="D361" s="101">
        <f t="shared" si="213"/>
        <v>9329003</v>
      </c>
      <c r="E361" s="107">
        <f t="shared" si="214"/>
        <v>12000000.000000002</v>
      </c>
      <c r="F361" s="115">
        <f t="shared" si="215"/>
        <v>3.4787386084823346E-2</v>
      </c>
      <c r="G361" s="116">
        <v>0</v>
      </c>
      <c r="H361" s="117">
        <f t="shared" si="216"/>
        <v>12000000.000000002</v>
      </c>
      <c r="I361" s="110"/>
      <c r="J361" s="110"/>
      <c r="K361" s="110"/>
      <c r="L361" s="110"/>
      <c r="M361" s="110"/>
      <c r="N361" s="110"/>
    </row>
    <row r="362" spans="1:14" x14ac:dyDescent="0.3">
      <c r="A362" s="4" t="str">
        <f t="shared" si="210"/>
        <v>PARK</v>
      </c>
      <c r="B362" s="101">
        <f t="shared" si="211"/>
        <v>4628261</v>
      </c>
      <c r="C362" s="101">
        <f t="shared" si="212"/>
        <v>4479670</v>
      </c>
      <c r="D362" s="101">
        <f t="shared" si="213"/>
        <v>2729451</v>
      </c>
      <c r="E362" s="107">
        <f t="shared" si="214"/>
        <v>5007943.4300000006</v>
      </c>
      <c r="F362" s="115">
        <f t="shared" si="215"/>
        <v>0.13732422491400542</v>
      </c>
      <c r="G362" s="116">
        <v>0.03</v>
      </c>
      <c r="H362" s="117">
        <f t="shared" si="216"/>
        <v>5158181.7329000011</v>
      </c>
      <c r="I362" s="110"/>
      <c r="J362" s="110"/>
      <c r="K362" s="110"/>
      <c r="L362" s="110"/>
      <c r="M362" s="110"/>
      <c r="N362" s="110"/>
    </row>
    <row r="363" spans="1:14" x14ac:dyDescent="0.3">
      <c r="A363" s="4" t="str">
        <f t="shared" si="210"/>
        <v>LIBRARY</v>
      </c>
      <c r="B363" s="101">
        <f t="shared" si="211"/>
        <v>604126</v>
      </c>
      <c r="C363" s="101">
        <f t="shared" si="212"/>
        <v>667388</v>
      </c>
      <c r="D363" s="101">
        <f t="shared" si="213"/>
        <v>746717</v>
      </c>
      <c r="E363" s="107">
        <f t="shared" si="214"/>
        <v>662904.91000000015</v>
      </c>
      <c r="F363" s="115">
        <f t="shared" si="215"/>
        <v>3.7113561783153726E-2</v>
      </c>
      <c r="G363" s="116">
        <v>0.03</v>
      </c>
      <c r="H363" s="117">
        <f t="shared" si="216"/>
        <v>682792.05730000022</v>
      </c>
      <c r="I363" s="110"/>
      <c r="J363" s="110"/>
      <c r="K363" s="110"/>
      <c r="L363" s="110"/>
      <c r="M363" s="110"/>
      <c r="N363" s="110"/>
    </row>
    <row r="364" spans="1:14" x14ac:dyDescent="0.3">
      <c r="A364" s="4" t="str">
        <f t="shared" si="210"/>
        <v>FINANCING PROCEEDS</v>
      </c>
      <c r="B364" s="101">
        <f t="shared" si="211"/>
        <v>0</v>
      </c>
      <c r="C364" s="101">
        <f t="shared" si="212"/>
        <v>8787056.6600000001</v>
      </c>
      <c r="D364" s="101">
        <f t="shared" si="213"/>
        <v>11548502</v>
      </c>
      <c r="E364" s="107">
        <f t="shared" si="214"/>
        <v>11548502</v>
      </c>
      <c r="F364" s="115">
        <f t="shared" si="215"/>
        <v>0</v>
      </c>
      <c r="G364" s="116">
        <v>0</v>
      </c>
      <c r="H364" s="117">
        <f t="shared" si="216"/>
        <v>11548502</v>
      </c>
      <c r="I364" s="110"/>
      <c r="J364" s="110"/>
      <c r="K364" s="110"/>
      <c r="L364" s="110"/>
      <c r="M364" s="110"/>
      <c r="N364" s="110"/>
    </row>
    <row r="365" spans="1:14" x14ac:dyDescent="0.3">
      <c r="A365" s="4" t="str">
        <f t="shared" si="210"/>
        <v>OTHER NON-RECURRING SOURCES</v>
      </c>
      <c r="B365" s="101">
        <f t="shared" si="211"/>
        <v>0</v>
      </c>
      <c r="C365" s="101">
        <f t="shared" si="212"/>
        <v>0</v>
      </c>
      <c r="D365" s="101">
        <f t="shared" si="213"/>
        <v>0</v>
      </c>
      <c r="E365" s="107">
        <f t="shared" ref="E365:E378" si="217">B297</f>
        <v>0</v>
      </c>
      <c r="F365" s="115">
        <f t="shared" ref="F365:F378" si="218">IFERROR(AVERAGE((E365/D365),(D365/C365),(C365/B365))-1,0)</f>
        <v>0</v>
      </c>
      <c r="G365" s="116">
        <v>0</v>
      </c>
      <c r="H365" s="117">
        <f t="shared" ref="H365:H378" si="219">IFERROR(E365*(1+G365),0)</f>
        <v>0</v>
      </c>
      <c r="I365" s="110"/>
      <c r="J365" s="110"/>
      <c r="K365" s="110"/>
      <c r="L365" s="110"/>
      <c r="M365" s="110"/>
      <c r="N365" s="110"/>
    </row>
    <row r="366" spans="1:14" x14ac:dyDescent="0.3">
      <c r="A366" s="4" t="str">
        <f t="shared" si="210"/>
        <v>OTHER SOURCES</v>
      </c>
      <c r="B366" s="101">
        <f t="shared" si="211"/>
        <v>0</v>
      </c>
      <c r="C366" s="101">
        <f t="shared" si="212"/>
        <v>0</v>
      </c>
      <c r="D366" s="101">
        <f t="shared" si="213"/>
        <v>0</v>
      </c>
      <c r="E366" s="107">
        <f t="shared" si="217"/>
        <v>0</v>
      </c>
      <c r="F366" s="115">
        <f t="shared" si="218"/>
        <v>0</v>
      </c>
      <c r="G366" s="116">
        <v>0</v>
      </c>
      <c r="H366" s="117">
        <f t="shared" si="219"/>
        <v>0</v>
      </c>
      <c r="I366" s="110"/>
      <c r="J366" s="110"/>
      <c r="K366" s="110"/>
      <c r="L366" s="110"/>
      <c r="M366" s="110"/>
      <c r="N366" s="110"/>
    </row>
    <row r="367" spans="1:14" x14ac:dyDescent="0.3">
      <c r="A367" s="4" t="str">
        <f t="shared" si="210"/>
        <v>OTHER SOURCES</v>
      </c>
      <c r="B367" s="101">
        <f t="shared" si="211"/>
        <v>0</v>
      </c>
      <c r="C367" s="101">
        <f t="shared" si="212"/>
        <v>0</v>
      </c>
      <c r="D367" s="101">
        <f t="shared" si="213"/>
        <v>0</v>
      </c>
      <c r="E367" s="107">
        <f t="shared" si="217"/>
        <v>0</v>
      </c>
      <c r="F367" s="115">
        <f t="shared" si="218"/>
        <v>0</v>
      </c>
      <c r="G367" s="116">
        <v>0</v>
      </c>
      <c r="H367" s="117">
        <f t="shared" si="219"/>
        <v>0</v>
      </c>
      <c r="I367" s="110"/>
      <c r="J367" s="110"/>
      <c r="K367" s="110"/>
      <c r="L367" s="110"/>
      <c r="M367" s="110"/>
      <c r="N367" s="110"/>
    </row>
    <row r="368" spans="1:14" x14ac:dyDescent="0.3">
      <c r="A368" s="4" t="str">
        <f t="shared" si="210"/>
        <v>OTHER SOURCES</v>
      </c>
      <c r="B368" s="101">
        <f t="shared" si="211"/>
        <v>0</v>
      </c>
      <c r="C368" s="101">
        <f t="shared" si="212"/>
        <v>0</v>
      </c>
      <c r="D368" s="101">
        <f t="shared" si="213"/>
        <v>0</v>
      </c>
      <c r="E368" s="107">
        <f t="shared" si="217"/>
        <v>0</v>
      </c>
      <c r="F368" s="115">
        <f t="shared" si="218"/>
        <v>0</v>
      </c>
      <c r="G368" s="116">
        <v>0</v>
      </c>
      <c r="H368" s="117">
        <f t="shared" si="219"/>
        <v>0</v>
      </c>
      <c r="I368" s="110"/>
      <c r="J368" s="110"/>
      <c r="K368" s="110"/>
      <c r="L368" s="110"/>
      <c r="M368" s="110"/>
      <c r="N368" s="110"/>
    </row>
    <row r="369" spans="1:14" x14ac:dyDescent="0.3">
      <c r="A369" s="4" t="str">
        <f t="shared" si="210"/>
        <v>OTHER SOURCES</v>
      </c>
      <c r="B369" s="101">
        <f t="shared" si="211"/>
        <v>0</v>
      </c>
      <c r="C369" s="101">
        <f t="shared" si="212"/>
        <v>0</v>
      </c>
      <c r="D369" s="101">
        <f t="shared" si="213"/>
        <v>0</v>
      </c>
      <c r="E369" s="107">
        <f t="shared" si="217"/>
        <v>0</v>
      </c>
      <c r="F369" s="115">
        <f t="shared" si="218"/>
        <v>0</v>
      </c>
      <c r="G369" s="116">
        <v>0</v>
      </c>
      <c r="H369" s="117">
        <f t="shared" si="219"/>
        <v>0</v>
      </c>
      <c r="I369" s="110"/>
      <c r="J369" s="110"/>
      <c r="K369" s="110"/>
      <c r="L369" s="110"/>
      <c r="M369" s="110"/>
      <c r="N369" s="110"/>
    </row>
    <row r="370" spans="1:14" x14ac:dyDescent="0.3">
      <c r="A370" s="4" t="str">
        <f t="shared" si="210"/>
        <v>OTHER SOURCES</v>
      </c>
      <c r="B370" s="101">
        <f t="shared" si="211"/>
        <v>0</v>
      </c>
      <c r="C370" s="101">
        <f t="shared" si="212"/>
        <v>0</v>
      </c>
      <c r="D370" s="101">
        <f t="shared" si="213"/>
        <v>0</v>
      </c>
      <c r="E370" s="107">
        <f t="shared" si="217"/>
        <v>0</v>
      </c>
      <c r="F370" s="115">
        <f t="shared" si="218"/>
        <v>0</v>
      </c>
      <c r="G370" s="116">
        <v>0</v>
      </c>
      <c r="H370" s="117">
        <f t="shared" si="219"/>
        <v>0</v>
      </c>
      <c r="I370" s="110"/>
      <c r="J370" s="110"/>
      <c r="K370" s="110"/>
      <c r="L370" s="110"/>
      <c r="M370" s="110"/>
      <c r="N370" s="110"/>
    </row>
    <row r="371" spans="1:14" x14ac:dyDescent="0.3">
      <c r="A371" s="4" t="str">
        <f t="shared" si="210"/>
        <v>OTHER SOURCES</v>
      </c>
      <c r="B371" s="101">
        <f t="shared" si="211"/>
        <v>0</v>
      </c>
      <c r="C371" s="101">
        <f t="shared" si="212"/>
        <v>0</v>
      </c>
      <c r="D371" s="101">
        <f t="shared" si="213"/>
        <v>0</v>
      </c>
      <c r="E371" s="107">
        <f t="shared" si="217"/>
        <v>0</v>
      </c>
      <c r="F371" s="115">
        <f t="shared" si="218"/>
        <v>0</v>
      </c>
      <c r="G371" s="116">
        <v>0</v>
      </c>
      <c r="H371" s="117">
        <f t="shared" si="219"/>
        <v>0</v>
      </c>
      <c r="I371" s="110"/>
      <c r="J371" s="110"/>
      <c r="K371" s="110"/>
      <c r="L371" s="110"/>
      <c r="M371" s="110"/>
      <c r="N371" s="110"/>
    </row>
    <row r="372" spans="1:14" x14ac:dyDescent="0.3">
      <c r="A372" s="4" t="str">
        <f t="shared" si="210"/>
        <v>OTHER SOURCES</v>
      </c>
      <c r="B372" s="101">
        <f t="shared" si="211"/>
        <v>0</v>
      </c>
      <c r="C372" s="101">
        <f t="shared" si="212"/>
        <v>0</v>
      </c>
      <c r="D372" s="101">
        <f t="shared" si="213"/>
        <v>0</v>
      </c>
      <c r="E372" s="107">
        <f t="shared" si="217"/>
        <v>0</v>
      </c>
      <c r="F372" s="115">
        <f t="shared" si="218"/>
        <v>0</v>
      </c>
      <c r="G372" s="116">
        <v>0</v>
      </c>
      <c r="H372" s="117">
        <f t="shared" si="219"/>
        <v>0</v>
      </c>
      <c r="I372" s="110"/>
      <c r="J372" s="110"/>
      <c r="K372" s="110"/>
      <c r="L372" s="110"/>
      <c r="M372" s="110"/>
      <c r="N372" s="110"/>
    </row>
    <row r="373" spans="1:14" x14ac:dyDescent="0.3">
      <c r="A373" s="4" t="str">
        <f t="shared" si="210"/>
        <v>OTHER SOURCES</v>
      </c>
      <c r="B373" s="101">
        <f t="shared" si="211"/>
        <v>0</v>
      </c>
      <c r="C373" s="101">
        <f t="shared" si="212"/>
        <v>0</v>
      </c>
      <c r="D373" s="101">
        <f t="shared" si="213"/>
        <v>0</v>
      </c>
      <c r="E373" s="107">
        <f t="shared" si="217"/>
        <v>0</v>
      </c>
      <c r="F373" s="115">
        <f t="shared" si="218"/>
        <v>0</v>
      </c>
      <c r="G373" s="116">
        <v>0</v>
      </c>
      <c r="H373" s="117">
        <f t="shared" si="219"/>
        <v>0</v>
      </c>
      <c r="I373" s="110"/>
      <c r="J373" s="110"/>
      <c r="K373" s="110"/>
      <c r="L373" s="110"/>
      <c r="M373" s="110"/>
      <c r="N373" s="110"/>
    </row>
    <row r="374" spans="1:14" x14ac:dyDescent="0.3">
      <c r="A374" s="4" t="str">
        <f t="shared" si="210"/>
        <v>OTHER SOURCES</v>
      </c>
      <c r="B374" s="101">
        <f t="shared" si="211"/>
        <v>0</v>
      </c>
      <c r="C374" s="101">
        <f t="shared" si="212"/>
        <v>0</v>
      </c>
      <c r="D374" s="101">
        <f t="shared" si="213"/>
        <v>0</v>
      </c>
      <c r="E374" s="107">
        <f t="shared" si="217"/>
        <v>0</v>
      </c>
      <c r="F374" s="115">
        <f t="shared" si="218"/>
        <v>0</v>
      </c>
      <c r="G374" s="116">
        <v>0</v>
      </c>
      <c r="H374" s="117">
        <f t="shared" si="219"/>
        <v>0</v>
      </c>
      <c r="I374" s="110"/>
      <c r="J374" s="110"/>
      <c r="K374" s="110"/>
      <c r="L374" s="110"/>
      <c r="M374" s="110"/>
      <c r="N374" s="110"/>
    </row>
    <row r="375" spans="1:14" x14ac:dyDescent="0.3">
      <c r="A375" s="4" t="str">
        <f t="shared" si="210"/>
        <v>OTHER SOURCES</v>
      </c>
      <c r="B375" s="101">
        <f t="shared" si="211"/>
        <v>0</v>
      </c>
      <c r="C375" s="101">
        <f t="shared" si="212"/>
        <v>0</v>
      </c>
      <c r="D375" s="101">
        <f t="shared" si="213"/>
        <v>0</v>
      </c>
      <c r="E375" s="107">
        <f t="shared" si="217"/>
        <v>0</v>
      </c>
      <c r="F375" s="115">
        <f t="shared" si="218"/>
        <v>0</v>
      </c>
      <c r="G375" s="116">
        <v>0</v>
      </c>
      <c r="H375" s="117">
        <f t="shared" si="219"/>
        <v>0</v>
      </c>
      <c r="I375" s="110"/>
      <c r="J375" s="110"/>
      <c r="K375" s="110"/>
      <c r="L375" s="110"/>
      <c r="M375" s="110"/>
      <c r="N375" s="110"/>
    </row>
    <row r="376" spans="1:14" x14ac:dyDescent="0.3">
      <c r="A376" s="4" t="str">
        <f t="shared" si="210"/>
        <v>OTHER SOURCES</v>
      </c>
      <c r="B376" s="101">
        <f t="shared" si="211"/>
        <v>0</v>
      </c>
      <c r="C376" s="101">
        <f t="shared" si="212"/>
        <v>0</v>
      </c>
      <c r="D376" s="101">
        <f t="shared" si="213"/>
        <v>0</v>
      </c>
      <c r="E376" s="107">
        <f t="shared" si="217"/>
        <v>0</v>
      </c>
      <c r="F376" s="115">
        <f t="shared" si="218"/>
        <v>0</v>
      </c>
      <c r="G376" s="116">
        <v>0</v>
      </c>
      <c r="H376" s="117">
        <f t="shared" si="219"/>
        <v>0</v>
      </c>
      <c r="I376" s="110"/>
      <c r="J376" s="110"/>
      <c r="K376" s="110"/>
      <c r="L376" s="110"/>
      <c r="M376" s="110"/>
      <c r="N376" s="110"/>
    </row>
    <row r="377" spans="1:14" x14ac:dyDescent="0.3">
      <c r="A377" s="4" t="str">
        <f t="shared" si="210"/>
        <v>OTHER SOURCES</v>
      </c>
      <c r="B377" s="101">
        <f t="shared" si="211"/>
        <v>0</v>
      </c>
      <c r="C377" s="101">
        <f t="shared" si="212"/>
        <v>0</v>
      </c>
      <c r="D377" s="101">
        <f t="shared" si="213"/>
        <v>0</v>
      </c>
      <c r="E377" s="107">
        <f t="shared" si="217"/>
        <v>0</v>
      </c>
      <c r="F377" s="115">
        <f t="shared" si="218"/>
        <v>0</v>
      </c>
      <c r="G377" s="116">
        <v>0</v>
      </c>
      <c r="H377" s="117">
        <f t="shared" si="219"/>
        <v>0</v>
      </c>
      <c r="I377" s="110"/>
      <c r="J377" s="110"/>
      <c r="K377" s="110"/>
      <c r="L377" s="110"/>
      <c r="M377" s="110"/>
      <c r="N377" s="110"/>
    </row>
    <row r="378" spans="1:14" x14ac:dyDescent="0.3">
      <c r="A378" s="4" t="str">
        <f t="shared" si="210"/>
        <v>OTHER SOURCES</v>
      </c>
      <c r="B378" s="101">
        <f t="shared" si="211"/>
        <v>0</v>
      </c>
      <c r="C378" s="101">
        <f t="shared" si="212"/>
        <v>0</v>
      </c>
      <c r="D378" s="101">
        <f t="shared" si="213"/>
        <v>0</v>
      </c>
      <c r="E378" s="107">
        <f t="shared" si="217"/>
        <v>0</v>
      </c>
      <c r="F378" s="115">
        <f t="shared" si="218"/>
        <v>0</v>
      </c>
      <c r="G378" s="116">
        <v>0</v>
      </c>
      <c r="H378" s="117">
        <f t="shared" si="219"/>
        <v>0</v>
      </c>
      <c r="I378" s="110"/>
      <c r="J378" s="110"/>
      <c r="K378" s="110"/>
      <c r="L378" s="110"/>
      <c r="M378" s="110"/>
      <c r="N378" s="110"/>
    </row>
    <row r="379" spans="1:14" x14ac:dyDescent="0.3">
      <c r="A379" s="40" t="s">
        <v>8</v>
      </c>
      <c r="B379" s="103">
        <f>SUM(B349:B378)</f>
        <v>943080676</v>
      </c>
      <c r="C379" s="103">
        <f>SUM(C349:C378)</f>
        <v>992342779.28999996</v>
      </c>
      <c r="D379" s="103">
        <f>SUM(D349:D378)</f>
        <v>991465857</v>
      </c>
      <c r="E379" s="103">
        <f>SUM(E349:E378)</f>
        <v>982664069.13999987</v>
      </c>
      <c r="F379" s="118">
        <f t="shared" si="215"/>
        <v>1.4158020765798973E-2</v>
      </c>
      <c r="G379" s="110"/>
      <c r="H379" s="103">
        <f>SUM(H349:H378)</f>
        <v>1001281051.6582</v>
      </c>
      <c r="I379" s="110"/>
      <c r="J379" s="110"/>
      <c r="K379" s="110"/>
      <c r="L379" s="110"/>
      <c r="M379" s="110"/>
      <c r="N379" s="110"/>
    </row>
    <row r="380" spans="1:14" x14ac:dyDescent="0.3">
      <c r="A380" s="10" t="s">
        <v>7</v>
      </c>
      <c r="B380" s="104"/>
      <c r="C380" s="104"/>
      <c r="D380" s="104"/>
      <c r="E380" s="104"/>
      <c r="F380" s="110"/>
      <c r="G380" s="110"/>
      <c r="H380" s="110"/>
      <c r="I380" s="110"/>
      <c r="J380" s="110"/>
      <c r="K380" s="110"/>
      <c r="L380" s="110"/>
      <c r="M380" s="110"/>
      <c r="N380" s="110"/>
    </row>
    <row r="381" spans="1:14" x14ac:dyDescent="0.3">
      <c r="A381" s="4" t="str">
        <f t="shared" ref="A381:A396" si="220">A41</f>
        <v>SALARIES &amp; WAGES</v>
      </c>
      <c r="B381" s="101">
        <f t="shared" ref="B381:B396" si="221">B108</f>
        <v>113980179</v>
      </c>
      <c r="C381" s="101">
        <f t="shared" ref="C381:C396" si="222">B41</f>
        <v>117236289</v>
      </c>
      <c r="D381" s="101">
        <f t="shared" ref="D381:D396" si="223">B244</f>
        <v>116122286</v>
      </c>
      <c r="E381" s="101">
        <f t="shared" ref="E381:E396" si="224">B313</f>
        <v>121266600</v>
      </c>
      <c r="F381" s="115">
        <f t="shared" ref="F381:F412" si="225">IFERROR(AVERAGE((E381/D381),(D381/C381),(C381/B381))-1,0)</f>
        <v>2.1121988508942424E-2</v>
      </c>
      <c r="G381" s="116">
        <v>0.05</v>
      </c>
      <c r="H381" s="117">
        <f t="shared" ref="H381:H396" si="226">IFERROR(E381*(1+G381),0)</f>
        <v>127329930</v>
      </c>
      <c r="I381" s="120"/>
      <c r="J381" s="110"/>
      <c r="K381" s="110"/>
      <c r="L381" s="120"/>
      <c r="M381" s="110"/>
      <c r="N381" s="110"/>
    </row>
    <row r="382" spans="1:14" x14ac:dyDescent="0.3">
      <c r="A382" s="4" t="str">
        <f t="shared" si="220"/>
        <v>BENEFITS</v>
      </c>
      <c r="B382" s="101">
        <f t="shared" si="221"/>
        <v>22977569</v>
      </c>
      <c r="C382" s="101">
        <f t="shared" si="222"/>
        <v>23936769</v>
      </c>
      <c r="D382" s="101">
        <f t="shared" si="223"/>
        <v>24579921</v>
      </c>
      <c r="E382" s="101">
        <f t="shared" si="224"/>
        <v>24897600</v>
      </c>
      <c r="F382" s="115">
        <f t="shared" si="225"/>
        <v>2.7179392970413607E-2</v>
      </c>
      <c r="G382" s="116">
        <v>0.05</v>
      </c>
      <c r="H382" s="117">
        <f t="shared" si="226"/>
        <v>26142480</v>
      </c>
      <c r="I382" s="120"/>
      <c r="J382" s="110"/>
      <c r="K382" s="110"/>
      <c r="L382" s="120"/>
      <c r="M382" s="110"/>
      <c r="N382" s="110"/>
    </row>
    <row r="383" spans="1:14" x14ac:dyDescent="0.3">
      <c r="A383" s="4" t="str">
        <f t="shared" si="220"/>
        <v>CONTRACTUAL SERVICES</v>
      </c>
      <c r="B383" s="101">
        <f t="shared" si="221"/>
        <v>212241208</v>
      </c>
      <c r="C383" s="101">
        <f t="shared" si="222"/>
        <v>238247691</v>
      </c>
      <c r="D383" s="101">
        <f t="shared" si="223"/>
        <v>245408479</v>
      </c>
      <c r="E383" s="101">
        <f t="shared" si="224"/>
        <v>244791476.83999997</v>
      </c>
      <c r="F383" s="115">
        <f t="shared" si="225"/>
        <v>5.0024851818684546E-2</v>
      </c>
      <c r="G383" s="116">
        <v>0.03</v>
      </c>
      <c r="H383" s="117">
        <f t="shared" si="226"/>
        <v>252135221.14519998</v>
      </c>
      <c r="I383" s="120"/>
      <c r="J383" s="110"/>
      <c r="K383" s="110"/>
      <c r="L383" s="120"/>
      <c r="M383" s="110"/>
      <c r="N383" s="110"/>
    </row>
    <row r="384" spans="1:14" x14ac:dyDescent="0.3">
      <c r="A384" s="4" t="str">
        <f t="shared" si="220"/>
        <v>UTILITIES</v>
      </c>
      <c r="B384" s="101">
        <f t="shared" si="221"/>
        <v>0</v>
      </c>
      <c r="C384" s="101">
        <f t="shared" si="222"/>
        <v>0</v>
      </c>
      <c r="D384" s="101">
        <f t="shared" si="223"/>
        <v>0</v>
      </c>
      <c r="E384" s="101">
        <f t="shared" si="224"/>
        <v>0</v>
      </c>
      <c r="F384" s="115">
        <f t="shared" si="225"/>
        <v>0</v>
      </c>
      <c r="G384" s="116">
        <v>0</v>
      </c>
      <c r="H384" s="117">
        <f t="shared" si="226"/>
        <v>0</v>
      </c>
      <c r="I384" s="110"/>
      <c r="J384" s="110"/>
      <c r="K384" s="110"/>
      <c r="L384" s="110"/>
      <c r="M384" s="110"/>
      <c r="N384" s="110"/>
    </row>
    <row r="385" spans="1:14" x14ac:dyDescent="0.3">
      <c r="A385" s="4" t="str">
        <f t="shared" si="220"/>
        <v>MAINTENANCE AND REPAIRS</v>
      </c>
      <c r="B385" s="101">
        <f t="shared" si="221"/>
        <v>0</v>
      </c>
      <c r="C385" s="101">
        <f t="shared" si="222"/>
        <v>0</v>
      </c>
      <c r="D385" s="101">
        <f t="shared" si="223"/>
        <v>0</v>
      </c>
      <c r="E385" s="101">
        <f t="shared" si="224"/>
        <v>0</v>
      </c>
      <c r="F385" s="115">
        <f t="shared" si="225"/>
        <v>0</v>
      </c>
      <c r="G385" s="116">
        <v>0</v>
      </c>
      <c r="H385" s="117">
        <f t="shared" si="226"/>
        <v>0</v>
      </c>
      <c r="I385" s="110"/>
      <c r="J385" s="110"/>
      <c r="K385" s="110"/>
      <c r="L385" s="110"/>
      <c r="M385" s="110"/>
      <c r="N385" s="110"/>
    </row>
    <row r="386" spans="1:14" x14ac:dyDescent="0.3">
      <c r="A386" s="4" t="str">
        <f t="shared" si="220"/>
        <v>FISCAL DISPARITIES</v>
      </c>
      <c r="B386" s="101">
        <f t="shared" si="221"/>
        <v>66691562</v>
      </c>
      <c r="C386" s="101">
        <f t="shared" si="222"/>
        <v>67195744</v>
      </c>
      <c r="D386" s="101">
        <f t="shared" si="223"/>
        <v>69211600</v>
      </c>
      <c r="E386" s="101">
        <f t="shared" si="224"/>
        <v>69982347</v>
      </c>
      <c r="F386" s="115">
        <f t="shared" si="225"/>
        <v>1.6231919904940995E-2</v>
      </c>
      <c r="G386" s="116">
        <v>0</v>
      </c>
      <c r="H386" s="117">
        <f t="shared" si="226"/>
        <v>69982347</v>
      </c>
      <c r="I386" s="110"/>
      <c r="J386" s="110"/>
      <c r="K386" s="110"/>
      <c r="L386" s="110"/>
      <c r="M386" s="110"/>
      <c r="N386" s="110"/>
    </row>
    <row r="387" spans="1:14" x14ac:dyDescent="0.3">
      <c r="A387" s="4" t="str">
        <f t="shared" si="220"/>
        <v>CAPITAL</v>
      </c>
      <c r="B387" s="101">
        <f t="shared" si="221"/>
        <v>0</v>
      </c>
      <c r="C387" s="101">
        <f t="shared" si="222"/>
        <v>0</v>
      </c>
      <c r="D387" s="101">
        <f t="shared" si="223"/>
        <v>0</v>
      </c>
      <c r="E387" s="101">
        <f t="shared" si="224"/>
        <v>0</v>
      </c>
      <c r="F387" s="115">
        <f t="shared" si="225"/>
        <v>0</v>
      </c>
      <c r="G387" s="116">
        <v>0</v>
      </c>
      <c r="H387" s="117">
        <f t="shared" si="226"/>
        <v>0</v>
      </c>
      <c r="I387" s="110"/>
      <c r="J387" s="110"/>
      <c r="K387" s="110"/>
      <c r="L387" s="110"/>
      <c r="M387" s="110"/>
      <c r="N387" s="110"/>
    </row>
    <row r="388" spans="1:14" x14ac:dyDescent="0.3">
      <c r="A388" s="4" t="str">
        <f t="shared" si="220"/>
        <v>GRANTS</v>
      </c>
      <c r="B388" s="101">
        <f t="shared" si="221"/>
        <v>0</v>
      </c>
      <c r="C388" s="101">
        <f t="shared" si="222"/>
        <v>0</v>
      </c>
      <c r="D388" s="101">
        <f t="shared" si="223"/>
        <v>0</v>
      </c>
      <c r="E388" s="101">
        <f t="shared" si="224"/>
        <v>0</v>
      </c>
      <c r="F388" s="115">
        <f t="shared" si="225"/>
        <v>0</v>
      </c>
      <c r="G388" s="116">
        <v>0</v>
      </c>
      <c r="H388" s="117">
        <f t="shared" si="226"/>
        <v>0</v>
      </c>
      <c r="I388" s="110"/>
      <c r="J388" s="110"/>
      <c r="K388" s="110"/>
      <c r="L388" s="110"/>
      <c r="M388" s="110"/>
      <c r="N388" s="110"/>
    </row>
    <row r="389" spans="1:14" x14ac:dyDescent="0.3">
      <c r="A389" s="4" t="str">
        <f t="shared" si="220"/>
        <v>TRANSFERS/OTHER</v>
      </c>
      <c r="B389" s="101">
        <f t="shared" si="221"/>
        <v>0</v>
      </c>
      <c r="C389" s="101">
        <f t="shared" si="222"/>
        <v>0</v>
      </c>
      <c r="D389" s="101">
        <f t="shared" si="223"/>
        <v>0</v>
      </c>
      <c r="E389" s="101">
        <f t="shared" si="224"/>
        <v>0</v>
      </c>
      <c r="F389" s="115">
        <f t="shared" si="225"/>
        <v>0</v>
      </c>
      <c r="G389" s="116">
        <v>0</v>
      </c>
      <c r="H389" s="117">
        <f t="shared" si="226"/>
        <v>0</v>
      </c>
      <c r="I389" s="110"/>
      <c r="J389" s="110"/>
      <c r="K389" s="110"/>
      <c r="L389" s="110"/>
      <c r="M389" s="110"/>
      <c r="N389" s="110"/>
    </row>
    <row r="390" spans="1:14" x14ac:dyDescent="0.3">
      <c r="A390" s="4" t="str">
        <f t="shared" si="220"/>
        <v>MTGE/DEED/TAXES/FEES</v>
      </c>
      <c r="B390" s="101">
        <f t="shared" si="221"/>
        <v>15406464</v>
      </c>
      <c r="C390" s="101">
        <f t="shared" si="222"/>
        <v>15298075</v>
      </c>
      <c r="D390" s="101">
        <f t="shared" si="223"/>
        <v>15443863</v>
      </c>
      <c r="E390" s="101">
        <f t="shared" si="224"/>
        <v>15723917.000000002</v>
      </c>
      <c r="F390" s="115">
        <f t="shared" si="225"/>
        <v>6.8760694002847345E-3</v>
      </c>
      <c r="G390" s="116">
        <v>0</v>
      </c>
      <c r="H390" s="117">
        <f t="shared" si="226"/>
        <v>15723917.000000002</v>
      </c>
      <c r="I390" s="110"/>
      <c r="J390" s="110"/>
      <c r="K390" s="110"/>
      <c r="L390" s="110"/>
      <c r="M390" s="110"/>
      <c r="N390" s="110"/>
    </row>
    <row r="391" spans="1:14" x14ac:dyDescent="0.3">
      <c r="A391" s="4" t="str">
        <f t="shared" si="220"/>
        <v>DEBT PYMTS</v>
      </c>
      <c r="B391" s="101">
        <f t="shared" si="221"/>
        <v>15908810</v>
      </c>
      <c r="C391" s="101">
        <f t="shared" si="222"/>
        <v>25067587</v>
      </c>
      <c r="D391" s="101">
        <f t="shared" si="223"/>
        <v>33978715</v>
      </c>
      <c r="E391" s="101">
        <f t="shared" si="224"/>
        <v>16061980</v>
      </c>
      <c r="F391" s="115">
        <f t="shared" si="225"/>
        <v>0.13463196683937695</v>
      </c>
      <c r="G391" s="116">
        <v>0</v>
      </c>
      <c r="H391" s="117">
        <f t="shared" si="226"/>
        <v>16061980</v>
      </c>
      <c r="I391" s="110"/>
      <c r="J391" s="110"/>
      <c r="K391" s="110"/>
      <c r="L391" s="110"/>
      <c r="M391" s="110"/>
      <c r="N391" s="110"/>
    </row>
    <row r="392" spans="1:14" x14ac:dyDescent="0.3">
      <c r="A392" s="4" t="str">
        <f t="shared" si="220"/>
        <v>TAX DISTRIBUTION PYMTS</v>
      </c>
      <c r="B392" s="101">
        <f t="shared" si="221"/>
        <v>386218436</v>
      </c>
      <c r="C392" s="101">
        <f t="shared" si="222"/>
        <v>410674494</v>
      </c>
      <c r="D392" s="101">
        <f t="shared" si="223"/>
        <v>423052393</v>
      </c>
      <c r="E392" s="101">
        <f t="shared" si="224"/>
        <v>421746356.46000004</v>
      </c>
      <c r="F392" s="115">
        <f t="shared" si="225"/>
        <v>3.012502283734686E-2</v>
      </c>
      <c r="G392" s="116">
        <v>0.03</v>
      </c>
      <c r="H392" s="117">
        <f t="shared" si="226"/>
        <v>434398747.15380007</v>
      </c>
      <c r="I392" s="110"/>
      <c r="J392" s="110"/>
      <c r="K392" s="110"/>
      <c r="L392" s="110"/>
      <c r="M392" s="110"/>
      <c r="N392" s="110"/>
    </row>
    <row r="393" spans="1:14" x14ac:dyDescent="0.3">
      <c r="A393" s="4" t="str">
        <f t="shared" si="220"/>
        <v xml:space="preserve">INVESTMENT PURCHASES </v>
      </c>
      <c r="B393" s="101">
        <f t="shared" si="221"/>
        <v>-112132631.13</v>
      </c>
      <c r="C393" s="101">
        <f t="shared" si="222"/>
        <v>-72656716.060000002</v>
      </c>
      <c r="D393" s="101">
        <f t="shared" si="223"/>
        <v>28633628</v>
      </c>
      <c r="E393" s="101">
        <f t="shared" si="224"/>
        <v>22413216.364110935</v>
      </c>
      <c r="F393" s="115">
        <f t="shared" si="225"/>
        <v>-0.65446094201216365</v>
      </c>
      <c r="G393" s="116">
        <v>0</v>
      </c>
      <c r="H393" s="117">
        <f t="shared" si="226"/>
        <v>22413216.364110935</v>
      </c>
      <c r="I393" s="110"/>
      <c r="J393" s="110"/>
      <c r="K393" s="110"/>
      <c r="L393" s="110"/>
      <c r="M393" s="110"/>
      <c r="N393" s="110"/>
    </row>
    <row r="394" spans="1:14" x14ac:dyDescent="0.3">
      <c r="A394" s="4" t="str">
        <f t="shared" si="220"/>
        <v>OTHER EXPENSES/USES</v>
      </c>
      <c r="B394" s="101">
        <f t="shared" si="221"/>
        <v>0</v>
      </c>
      <c r="C394" s="101">
        <f t="shared" si="222"/>
        <v>0</v>
      </c>
      <c r="D394" s="101">
        <f t="shared" si="223"/>
        <v>0</v>
      </c>
      <c r="E394" s="101">
        <f t="shared" si="224"/>
        <v>0</v>
      </c>
      <c r="F394" s="115">
        <f t="shared" si="225"/>
        <v>0</v>
      </c>
      <c r="G394" s="116">
        <v>0</v>
      </c>
      <c r="H394" s="117">
        <f t="shared" si="226"/>
        <v>0</v>
      </c>
      <c r="I394" s="110"/>
      <c r="J394" s="110"/>
      <c r="K394" s="110"/>
      <c r="L394" s="110"/>
      <c r="M394" s="110"/>
      <c r="N394" s="110"/>
    </row>
    <row r="395" spans="1:14" x14ac:dyDescent="0.3">
      <c r="A395" s="4" t="str">
        <f t="shared" si="220"/>
        <v>OTHER EXPENSES/USES</v>
      </c>
      <c r="B395" s="101">
        <f t="shared" si="221"/>
        <v>0</v>
      </c>
      <c r="C395" s="101">
        <f t="shared" si="222"/>
        <v>0</v>
      </c>
      <c r="D395" s="101">
        <f t="shared" si="223"/>
        <v>0</v>
      </c>
      <c r="E395" s="101">
        <f t="shared" si="224"/>
        <v>0</v>
      </c>
      <c r="F395" s="115">
        <f t="shared" si="225"/>
        <v>0</v>
      </c>
      <c r="G395" s="116">
        <v>0</v>
      </c>
      <c r="H395" s="117">
        <f t="shared" si="226"/>
        <v>0</v>
      </c>
      <c r="I395" s="110"/>
      <c r="J395" s="110"/>
      <c r="K395" s="110"/>
      <c r="L395" s="110"/>
      <c r="M395" s="110"/>
      <c r="N395" s="110"/>
    </row>
    <row r="396" spans="1:14" x14ac:dyDescent="0.3">
      <c r="A396" s="4" t="str">
        <f t="shared" si="220"/>
        <v>OTHER EXPENSES/USES</v>
      </c>
      <c r="B396" s="101">
        <f t="shared" si="221"/>
        <v>0</v>
      </c>
      <c r="C396" s="101">
        <f t="shared" si="222"/>
        <v>0</v>
      </c>
      <c r="D396" s="101">
        <f t="shared" si="223"/>
        <v>0</v>
      </c>
      <c r="E396" s="101">
        <f t="shared" si="224"/>
        <v>0</v>
      </c>
      <c r="F396" s="115">
        <f t="shared" si="225"/>
        <v>0</v>
      </c>
      <c r="G396" s="116">
        <v>0</v>
      </c>
      <c r="H396" s="117">
        <f t="shared" si="226"/>
        <v>0</v>
      </c>
      <c r="I396" s="110"/>
      <c r="J396" s="110"/>
      <c r="K396" s="110"/>
      <c r="L396" s="110"/>
      <c r="M396" s="110"/>
      <c r="N396" s="110"/>
    </row>
    <row r="397" spans="1:14" x14ac:dyDescent="0.3">
      <c r="A397" s="4" t="str">
        <f t="shared" ref="A397:A410" si="227">A57</f>
        <v>OTHER EXPENSES/USES</v>
      </c>
      <c r="B397" s="101">
        <f t="shared" ref="B397:B410" si="228">B124</f>
        <v>0</v>
      </c>
      <c r="C397" s="101">
        <f t="shared" ref="C397:C410" si="229">B57</f>
        <v>0</v>
      </c>
      <c r="D397" s="101">
        <f t="shared" ref="D397:D410" si="230">B260</f>
        <v>0</v>
      </c>
      <c r="E397" s="101">
        <f t="shared" ref="E397:E410" si="231">B329</f>
        <v>0</v>
      </c>
      <c r="F397" s="115">
        <f t="shared" ref="F397:F410" si="232">IFERROR(AVERAGE((E397/D397),(D397/C397),(C397/B397))-1,0)</f>
        <v>0</v>
      </c>
      <c r="G397" s="116">
        <v>0</v>
      </c>
      <c r="H397" s="117">
        <f t="shared" ref="H397:H410" si="233">IFERROR(E397*(1+G397),0)</f>
        <v>0</v>
      </c>
      <c r="I397" s="110"/>
      <c r="J397" s="110"/>
      <c r="K397" s="110"/>
      <c r="L397" s="110"/>
      <c r="M397" s="110"/>
      <c r="N397" s="110"/>
    </row>
    <row r="398" spans="1:14" x14ac:dyDescent="0.3">
      <c r="A398" s="4" t="str">
        <f t="shared" si="227"/>
        <v>OTHER EXPENSES/USES</v>
      </c>
      <c r="B398" s="101">
        <f t="shared" si="228"/>
        <v>0</v>
      </c>
      <c r="C398" s="101">
        <f t="shared" si="229"/>
        <v>0</v>
      </c>
      <c r="D398" s="101">
        <f t="shared" si="230"/>
        <v>0</v>
      </c>
      <c r="E398" s="101">
        <f t="shared" si="231"/>
        <v>0</v>
      </c>
      <c r="F398" s="115">
        <f t="shared" si="232"/>
        <v>0</v>
      </c>
      <c r="G398" s="116">
        <v>0</v>
      </c>
      <c r="H398" s="117">
        <f t="shared" si="233"/>
        <v>0</v>
      </c>
      <c r="I398" s="110"/>
      <c r="J398" s="110"/>
      <c r="K398" s="110"/>
      <c r="L398" s="110"/>
      <c r="M398" s="110"/>
      <c r="N398" s="110"/>
    </row>
    <row r="399" spans="1:14" x14ac:dyDescent="0.3">
      <c r="A399" s="4" t="str">
        <f t="shared" si="227"/>
        <v>OTHER EXPENSES/USES</v>
      </c>
      <c r="B399" s="101">
        <f t="shared" si="228"/>
        <v>0</v>
      </c>
      <c r="C399" s="101">
        <f t="shared" si="229"/>
        <v>0</v>
      </c>
      <c r="D399" s="101">
        <f t="shared" si="230"/>
        <v>0</v>
      </c>
      <c r="E399" s="101">
        <f t="shared" si="231"/>
        <v>0</v>
      </c>
      <c r="F399" s="115">
        <f t="shared" si="232"/>
        <v>0</v>
      </c>
      <c r="G399" s="116">
        <v>0</v>
      </c>
      <c r="H399" s="117">
        <f t="shared" si="233"/>
        <v>0</v>
      </c>
      <c r="I399" s="110"/>
      <c r="J399" s="110"/>
      <c r="K399" s="110"/>
      <c r="L399" s="110"/>
      <c r="M399" s="110"/>
      <c r="N399" s="110"/>
    </row>
    <row r="400" spans="1:14" x14ac:dyDescent="0.3">
      <c r="A400" s="4" t="str">
        <f t="shared" si="227"/>
        <v>OTHER EXPENSES/USES</v>
      </c>
      <c r="B400" s="101">
        <f t="shared" si="228"/>
        <v>0</v>
      </c>
      <c r="C400" s="101">
        <f t="shared" si="229"/>
        <v>0</v>
      </c>
      <c r="D400" s="101">
        <f t="shared" si="230"/>
        <v>0</v>
      </c>
      <c r="E400" s="101">
        <f t="shared" si="231"/>
        <v>0</v>
      </c>
      <c r="F400" s="115">
        <f t="shared" si="232"/>
        <v>0</v>
      </c>
      <c r="G400" s="116">
        <v>0</v>
      </c>
      <c r="H400" s="117">
        <f t="shared" si="233"/>
        <v>0</v>
      </c>
      <c r="I400" s="110"/>
      <c r="J400" s="110"/>
      <c r="K400" s="110"/>
      <c r="L400" s="110"/>
      <c r="M400" s="110"/>
      <c r="N400" s="110"/>
    </row>
    <row r="401" spans="1:14" x14ac:dyDescent="0.3">
      <c r="A401" s="4" t="str">
        <f t="shared" si="227"/>
        <v>OTHER EXPENSES/USES</v>
      </c>
      <c r="B401" s="101">
        <f t="shared" si="228"/>
        <v>0</v>
      </c>
      <c r="C401" s="101">
        <f t="shared" si="229"/>
        <v>0</v>
      </c>
      <c r="D401" s="101">
        <f t="shared" si="230"/>
        <v>0</v>
      </c>
      <c r="E401" s="101">
        <f t="shared" si="231"/>
        <v>0</v>
      </c>
      <c r="F401" s="115">
        <f t="shared" si="232"/>
        <v>0</v>
      </c>
      <c r="G401" s="116">
        <v>0</v>
      </c>
      <c r="H401" s="117">
        <f t="shared" si="233"/>
        <v>0</v>
      </c>
      <c r="I401" s="110"/>
      <c r="J401" s="110"/>
      <c r="K401" s="110"/>
      <c r="L401" s="110"/>
      <c r="M401" s="110"/>
      <c r="N401" s="110"/>
    </row>
    <row r="402" spans="1:14" x14ac:dyDescent="0.3">
      <c r="A402" s="4" t="str">
        <f t="shared" si="227"/>
        <v>OTHER EXPENSES/USES</v>
      </c>
      <c r="B402" s="101">
        <f t="shared" si="228"/>
        <v>0</v>
      </c>
      <c r="C402" s="101">
        <f t="shared" si="229"/>
        <v>0</v>
      </c>
      <c r="D402" s="101">
        <f t="shared" si="230"/>
        <v>0</v>
      </c>
      <c r="E402" s="101">
        <f t="shared" si="231"/>
        <v>0</v>
      </c>
      <c r="F402" s="115">
        <f t="shared" si="232"/>
        <v>0</v>
      </c>
      <c r="G402" s="116">
        <v>0</v>
      </c>
      <c r="H402" s="117">
        <f t="shared" si="233"/>
        <v>0</v>
      </c>
      <c r="I402" s="110"/>
      <c r="J402" s="110"/>
      <c r="K402" s="110"/>
      <c r="L402" s="110"/>
      <c r="M402" s="110"/>
      <c r="N402" s="110"/>
    </row>
    <row r="403" spans="1:14" x14ac:dyDescent="0.3">
      <c r="A403" s="4" t="str">
        <f t="shared" si="227"/>
        <v>OTHER EXPENSES/USES</v>
      </c>
      <c r="B403" s="101">
        <f t="shared" si="228"/>
        <v>0</v>
      </c>
      <c r="C403" s="101">
        <f t="shared" si="229"/>
        <v>0</v>
      </c>
      <c r="D403" s="101">
        <f t="shared" si="230"/>
        <v>0</v>
      </c>
      <c r="E403" s="101">
        <f t="shared" si="231"/>
        <v>0</v>
      </c>
      <c r="F403" s="115">
        <f t="shared" si="232"/>
        <v>0</v>
      </c>
      <c r="G403" s="116">
        <v>0</v>
      </c>
      <c r="H403" s="117">
        <f t="shared" si="233"/>
        <v>0</v>
      </c>
      <c r="I403" s="110"/>
      <c r="J403" s="110"/>
      <c r="K403" s="110"/>
      <c r="L403" s="110"/>
      <c r="M403" s="110"/>
      <c r="N403" s="110"/>
    </row>
    <row r="404" spans="1:14" x14ac:dyDescent="0.3">
      <c r="A404" s="4" t="str">
        <f t="shared" si="227"/>
        <v>OTHER EXPENSES/USES</v>
      </c>
      <c r="B404" s="101">
        <f t="shared" si="228"/>
        <v>0</v>
      </c>
      <c r="C404" s="101">
        <f t="shared" si="229"/>
        <v>0</v>
      </c>
      <c r="D404" s="101">
        <f t="shared" si="230"/>
        <v>0</v>
      </c>
      <c r="E404" s="101">
        <f t="shared" si="231"/>
        <v>0</v>
      </c>
      <c r="F404" s="115">
        <f t="shared" si="232"/>
        <v>0</v>
      </c>
      <c r="G404" s="116">
        <v>0</v>
      </c>
      <c r="H404" s="117">
        <f t="shared" si="233"/>
        <v>0</v>
      </c>
      <c r="I404" s="110"/>
      <c r="J404" s="110"/>
      <c r="K404" s="110"/>
      <c r="L404" s="110"/>
      <c r="M404" s="110"/>
      <c r="N404" s="110"/>
    </row>
    <row r="405" spans="1:14" x14ac:dyDescent="0.3">
      <c r="A405" s="4" t="str">
        <f t="shared" si="227"/>
        <v>OTHER EXPENSES/USES</v>
      </c>
      <c r="B405" s="101">
        <f t="shared" si="228"/>
        <v>0</v>
      </c>
      <c r="C405" s="101">
        <f t="shared" si="229"/>
        <v>0</v>
      </c>
      <c r="D405" s="101">
        <f t="shared" si="230"/>
        <v>0</v>
      </c>
      <c r="E405" s="101">
        <f t="shared" si="231"/>
        <v>0</v>
      </c>
      <c r="F405" s="115">
        <f t="shared" si="232"/>
        <v>0</v>
      </c>
      <c r="G405" s="116">
        <v>0</v>
      </c>
      <c r="H405" s="117">
        <f t="shared" si="233"/>
        <v>0</v>
      </c>
      <c r="I405" s="110"/>
      <c r="J405" s="110"/>
      <c r="K405" s="110"/>
      <c r="L405" s="110"/>
      <c r="M405" s="110"/>
      <c r="N405" s="110"/>
    </row>
    <row r="406" spans="1:14" x14ac:dyDescent="0.3">
      <c r="A406" s="4" t="str">
        <f t="shared" si="227"/>
        <v>OTHER EXPENSES/USES</v>
      </c>
      <c r="B406" s="101">
        <f t="shared" si="228"/>
        <v>0</v>
      </c>
      <c r="C406" s="101">
        <f t="shared" si="229"/>
        <v>0</v>
      </c>
      <c r="D406" s="101">
        <f t="shared" si="230"/>
        <v>0</v>
      </c>
      <c r="E406" s="101">
        <f t="shared" si="231"/>
        <v>0</v>
      </c>
      <c r="F406" s="115">
        <f t="shared" si="232"/>
        <v>0</v>
      </c>
      <c r="G406" s="116">
        <v>0</v>
      </c>
      <c r="H406" s="117">
        <f t="shared" si="233"/>
        <v>0</v>
      </c>
      <c r="I406" s="110"/>
      <c r="J406" s="110"/>
      <c r="K406" s="110"/>
      <c r="L406" s="110"/>
      <c r="M406" s="110"/>
      <c r="N406" s="110"/>
    </row>
    <row r="407" spans="1:14" x14ac:dyDescent="0.3">
      <c r="A407" s="4" t="str">
        <f t="shared" si="227"/>
        <v>OTHER EXPENSES/USES</v>
      </c>
      <c r="B407" s="101">
        <f t="shared" si="228"/>
        <v>0</v>
      </c>
      <c r="C407" s="101">
        <f t="shared" si="229"/>
        <v>0</v>
      </c>
      <c r="D407" s="101">
        <f t="shared" si="230"/>
        <v>0</v>
      </c>
      <c r="E407" s="101">
        <f t="shared" si="231"/>
        <v>0</v>
      </c>
      <c r="F407" s="115">
        <f t="shared" si="232"/>
        <v>0</v>
      </c>
      <c r="G407" s="116">
        <v>0</v>
      </c>
      <c r="H407" s="117">
        <f t="shared" si="233"/>
        <v>0</v>
      </c>
      <c r="I407" s="110"/>
      <c r="J407" s="110"/>
      <c r="K407" s="110"/>
      <c r="L407" s="110"/>
      <c r="M407" s="110"/>
      <c r="N407" s="110"/>
    </row>
    <row r="408" spans="1:14" x14ac:dyDescent="0.3">
      <c r="A408" s="4" t="str">
        <f t="shared" si="227"/>
        <v>OTHER EXPENSES/USES</v>
      </c>
      <c r="B408" s="101">
        <f t="shared" si="228"/>
        <v>0</v>
      </c>
      <c r="C408" s="101">
        <f t="shared" si="229"/>
        <v>0</v>
      </c>
      <c r="D408" s="101">
        <f t="shared" si="230"/>
        <v>0</v>
      </c>
      <c r="E408" s="101">
        <f t="shared" si="231"/>
        <v>0</v>
      </c>
      <c r="F408" s="115">
        <f t="shared" si="232"/>
        <v>0</v>
      </c>
      <c r="G408" s="116">
        <v>0</v>
      </c>
      <c r="H408" s="117">
        <f t="shared" si="233"/>
        <v>0</v>
      </c>
      <c r="I408" s="110"/>
      <c r="J408" s="110"/>
      <c r="K408" s="110"/>
      <c r="L408" s="110"/>
      <c r="M408" s="110"/>
      <c r="N408" s="110"/>
    </row>
    <row r="409" spans="1:14" x14ac:dyDescent="0.3">
      <c r="A409" s="4" t="str">
        <f t="shared" si="227"/>
        <v>OTHER EXPENSES/USES</v>
      </c>
      <c r="B409" s="101">
        <f t="shared" si="228"/>
        <v>0</v>
      </c>
      <c r="C409" s="101">
        <f t="shared" si="229"/>
        <v>0</v>
      </c>
      <c r="D409" s="101">
        <f t="shared" si="230"/>
        <v>0</v>
      </c>
      <c r="E409" s="101">
        <f t="shared" si="231"/>
        <v>0</v>
      </c>
      <c r="F409" s="115">
        <f t="shared" si="232"/>
        <v>0</v>
      </c>
      <c r="G409" s="116">
        <v>0</v>
      </c>
      <c r="H409" s="117">
        <f t="shared" si="233"/>
        <v>0</v>
      </c>
      <c r="I409" s="110"/>
      <c r="J409" s="110"/>
      <c r="K409" s="110"/>
      <c r="L409" s="110"/>
      <c r="M409" s="110"/>
      <c r="N409" s="110"/>
    </row>
    <row r="410" spans="1:14" x14ac:dyDescent="0.3">
      <c r="A410" s="4" t="str">
        <f t="shared" si="227"/>
        <v>OTHER EXPENSES/USES</v>
      </c>
      <c r="B410" s="101">
        <f t="shared" si="228"/>
        <v>0</v>
      </c>
      <c r="C410" s="101">
        <f t="shared" si="229"/>
        <v>0</v>
      </c>
      <c r="D410" s="101">
        <f t="shared" si="230"/>
        <v>0</v>
      </c>
      <c r="E410" s="101">
        <f t="shared" si="231"/>
        <v>0</v>
      </c>
      <c r="F410" s="115">
        <f t="shared" si="232"/>
        <v>0</v>
      </c>
      <c r="G410" s="116">
        <v>0</v>
      </c>
      <c r="H410" s="117">
        <f t="shared" si="233"/>
        <v>0</v>
      </c>
      <c r="I410" s="110"/>
      <c r="J410" s="110"/>
      <c r="K410" s="110"/>
      <c r="L410" s="110"/>
      <c r="M410" s="110"/>
      <c r="N410" s="110"/>
    </row>
    <row r="411" spans="1:14" x14ac:dyDescent="0.3">
      <c r="A411" s="40" t="s">
        <v>9</v>
      </c>
      <c r="B411" s="112">
        <f>SUM(B381:B410)</f>
        <v>721291596.87</v>
      </c>
      <c r="C411" s="112">
        <f>SUM(C381:C410)</f>
        <v>824999932.94000006</v>
      </c>
      <c r="D411" s="112">
        <f>SUM(D381:D410)</f>
        <v>956430885</v>
      </c>
      <c r="E411" s="112">
        <f>SUM(E381:E410)</f>
        <v>936883493.6641109</v>
      </c>
      <c r="F411" s="118">
        <f t="shared" si="225"/>
        <v>9.4217945283962656E-2</v>
      </c>
      <c r="G411" s="110"/>
      <c r="H411" s="112">
        <f>SUM(H381:H410)</f>
        <v>964187838.66311097</v>
      </c>
      <c r="I411" s="110"/>
      <c r="J411" s="110"/>
      <c r="K411" s="110"/>
      <c r="L411" s="110"/>
      <c r="M411" s="110"/>
      <c r="N411" s="110"/>
    </row>
    <row r="412" spans="1:14" ht="15" thickBot="1" x14ac:dyDescent="0.35">
      <c r="A412" s="41" t="s">
        <v>10</v>
      </c>
      <c r="B412" s="113">
        <f>B379-B411</f>
        <v>221789079.13</v>
      </c>
      <c r="C412" s="113">
        <f>C379-C411</f>
        <v>167342846.3499999</v>
      </c>
      <c r="D412" s="113">
        <f>D379-D411</f>
        <v>35034972</v>
      </c>
      <c r="E412" s="113">
        <f>E379-E411</f>
        <v>45780575.475888968</v>
      </c>
      <c r="F412" s="119">
        <f t="shared" si="225"/>
        <v>-0.24313843966515092</v>
      </c>
      <c r="G412" s="110"/>
      <c r="H412" s="113">
        <f>H379-H411</f>
        <v>37093212.995089054</v>
      </c>
      <c r="I412" s="110"/>
      <c r="J412" s="110"/>
      <c r="K412" s="110"/>
      <c r="L412" s="110"/>
      <c r="M412" s="110"/>
      <c r="N412" s="110"/>
    </row>
  </sheetData>
  <sheetProtection algorithmName="SHA-512" hashValue="kBl34qgxKzL+QqjxsrWnksH0uiIEjGrVdgZP4VZiiUy67TLvk9Edftvq4ZuRhHVTkIKq5pXERJkss61oW63xlg==" saltValue="Dg98t3N6bc1z7CW6bo/UuQ==" spinCount="100000" sheet="1" objects="1" scenarios="1"/>
  <mergeCells count="2">
    <mergeCell ref="I347:N347"/>
    <mergeCell ref="B3:C3"/>
  </mergeCells>
  <pageMargins left="0.7" right="0.7" top="0.75" bottom="0.75" header="0.3" footer="0.3"/>
  <pageSetup scale="61" fitToHeight="4" orientation="landscape" r:id="rId1"/>
  <headerFooter>
    <oddHeader>&amp;F</oddHeader>
    <oddFooter>&amp;C&amp;A&amp;R&amp;P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'5-FY Table'!$B$2:$B$37</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S118"/>
  <sheetViews>
    <sheetView zoomScale="80" zoomScaleNormal="80" workbookViewId="0">
      <pane ySplit="3" topLeftCell="A4" activePane="bottomLeft" state="frozen"/>
      <selection pane="bottomLeft" activeCell="G1" sqref="G1"/>
    </sheetView>
  </sheetViews>
  <sheetFormatPr defaultColWidth="8.6640625" defaultRowHeight="14.4" x14ac:dyDescent="0.3"/>
  <cols>
    <col min="1" max="1" width="8.6640625" style="4"/>
    <col min="2" max="2" width="15" style="4" customWidth="1"/>
    <col min="3" max="3" width="11.109375" style="4" bestFit="1" customWidth="1"/>
    <col min="4" max="4" width="8.6640625" style="4"/>
    <col min="5" max="5" width="11.109375" style="4" bestFit="1" customWidth="1"/>
    <col min="6" max="7" width="9.109375" style="4" bestFit="1" customWidth="1"/>
    <col min="8" max="8" width="9.88671875" style="4" bestFit="1" customWidth="1"/>
    <col min="9" max="9" width="10.33203125" style="4" bestFit="1" customWidth="1"/>
    <col min="10" max="10" width="9.44140625" style="4" bestFit="1" customWidth="1"/>
    <col min="11" max="11" width="10.33203125" style="4" bestFit="1" customWidth="1"/>
    <col min="12" max="13" width="9.33203125" style="4" bestFit="1" customWidth="1"/>
    <col min="14" max="14" width="9.44140625" style="4" bestFit="1" customWidth="1"/>
    <col min="15" max="15" width="9.33203125" style="4" bestFit="1" customWidth="1"/>
    <col min="16" max="16" width="10.33203125" style="4" bestFit="1" customWidth="1"/>
    <col min="17" max="22" width="9.33203125" style="4" bestFit="1" customWidth="1"/>
    <col min="23" max="23" width="10.33203125" style="4" bestFit="1" customWidth="1"/>
    <col min="24" max="27" width="9.33203125" style="4" bestFit="1" customWidth="1"/>
    <col min="28" max="28" width="10.33203125" style="4" bestFit="1" customWidth="1"/>
    <col min="29" max="34" width="9.33203125" style="4" customWidth="1"/>
    <col min="35" max="35" width="10.33203125" style="4" bestFit="1" customWidth="1"/>
    <col min="36" max="39" width="9.33203125" style="4" customWidth="1"/>
    <col min="40" max="40" width="10.33203125" style="4" bestFit="1" customWidth="1"/>
    <col min="41" max="41" width="8.6640625" style="4"/>
    <col min="42" max="42" width="17" style="4" customWidth="1"/>
    <col min="43" max="43" width="17.33203125" style="4" bestFit="1" customWidth="1"/>
    <col min="44" max="44" width="14" style="4" customWidth="1"/>
    <col min="45" max="45" width="11.44140625" style="4" bestFit="1" customWidth="1"/>
    <col min="46" max="16384" width="8.6640625" style="4"/>
  </cols>
  <sheetData>
    <row r="1" spans="1:40" ht="18" x14ac:dyDescent="0.35">
      <c r="A1" s="100" t="str">
        <f>CONCATENATE("MONTHLY CASH FLOW ESTIMATE - ",'2-Data Input &amp; Assumptions'!B3)</f>
        <v>MONTHLY CASH FLOW ESTIMATE - GENERAL FUND</v>
      </c>
      <c r="B1" s="2"/>
      <c r="C1" s="2"/>
      <c r="D1" s="2"/>
      <c r="E1" s="2"/>
      <c r="F1" s="2"/>
      <c r="G1" s="2"/>
      <c r="H1" s="2"/>
      <c r="I1" s="2"/>
      <c r="J1" s="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5.6" x14ac:dyDescent="0.3">
      <c r="A2" s="5" t="str">
        <f>CONCATENATE("FOR FISCAL YEAR ENDING-",'2-Data Input &amp; Assumptions'!B2)</f>
        <v>FOR FISCAL YEAR ENDING-JUN-2021</v>
      </c>
      <c r="B2" s="6"/>
      <c r="C2" s="6"/>
      <c r="D2" s="6"/>
      <c r="E2" s="6"/>
      <c r="F2" s="6"/>
      <c r="G2" s="6"/>
      <c r="H2" s="7"/>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5.6" x14ac:dyDescent="0.3">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31" spans="5:16" x14ac:dyDescent="0.3">
      <c r="E31" s="8"/>
      <c r="F31" s="8"/>
      <c r="G31" s="8"/>
      <c r="H31" s="8"/>
      <c r="I31" s="8"/>
      <c r="J31" s="8"/>
      <c r="K31" s="8"/>
      <c r="L31" s="8"/>
      <c r="M31" s="8"/>
      <c r="N31" s="8"/>
      <c r="O31" s="8"/>
      <c r="P31" s="8"/>
    </row>
    <row r="35" spans="2:43" x14ac:dyDescent="0.3">
      <c r="AP35" s="135"/>
    </row>
    <row r="37" spans="2:43" x14ac:dyDescent="0.3">
      <c r="AQ37" s="8"/>
    </row>
    <row r="40" spans="2:43" x14ac:dyDescent="0.3">
      <c r="B40" s="91"/>
      <c r="C40" s="91"/>
      <c r="D40" s="91"/>
      <c r="E40" s="92" t="str">
        <f>E46</f>
        <v>JUL-2020</v>
      </c>
      <c r="F40" s="92" t="str">
        <f t="shared" ref="F40:AN40" si="0">F46</f>
        <v>AUG-2020</v>
      </c>
      <c r="G40" s="92" t="str">
        <f t="shared" si="0"/>
        <v>SEP-2020</v>
      </c>
      <c r="H40" s="92" t="str">
        <f t="shared" si="0"/>
        <v>OCT-2020</v>
      </c>
      <c r="I40" s="92" t="str">
        <f t="shared" si="0"/>
        <v>NOV-2020</v>
      </c>
      <c r="J40" s="92" t="str">
        <f t="shared" si="0"/>
        <v>DEC-2020</v>
      </c>
      <c r="K40" s="92" t="str">
        <f t="shared" si="0"/>
        <v>JAN-2021</v>
      </c>
      <c r="L40" s="92" t="str">
        <f t="shared" si="0"/>
        <v>FEB-2021</v>
      </c>
      <c r="M40" s="92" t="str">
        <f t="shared" si="0"/>
        <v>MAR-2021</v>
      </c>
      <c r="N40" s="92" t="str">
        <f t="shared" si="0"/>
        <v>APR-2021</v>
      </c>
      <c r="O40" s="92" t="str">
        <f t="shared" si="0"/>
        <v>MAY-2021</v>
      </c>
      <c r="P40" s="93" t="str">
        <f t="shared" si="0"/>
        <v>JUN-2021</v>
      </c>
      <c r="Q40" s="92" t="str">
        <f t="shared" si="0"/>
        <v>JUL-2021</v>
      </c>
      <c r="R40" s="92" t="str">
        <f t="shared" si="0"/>
        <v>AUG-2021</v>
      </c>
      <c r="S40" s="92" t="str">
        <f t="shared" si="0"/>
        <v>SEP-2021</v>
      </c>
      <c r="T40" s="92" t="str">
        <f t="shared" si="0"/>
        <v>OCT-2021</v>
      </c>
      <c r="U40" s="92" t="str">
        <f t="shared" si="0"/>
        <v>NOV-2021</v>
      </c>
      <c r="V40" s="92" t="str">
        <f t="shared" si="0"/>
        <v>DEC-2021</v>
      </c>
      <c r="W40" s="92" t="str">
        <f t="shared" si="0"/>
        <v>JAN-2022</v>
      </c>
      <c r="X40" s="92" t="str">
        <f t="shared" si="0"/>
        <v>FEB-2022</v>
      </c>
      <c r="Y40" s="92" t="str">
        <f t="shared" si="0"/>
        <v>MAR-2022</v>
      </c>
      <c r="Z40" s="92" t="str">
        <f t="shared" si="0"/>
        <v>APR-2022</v>
      </c>
      <c r="AA40" s="92" t="str">
        <f t="shared" si="0"/>
        <v>MAY-2022</v>
      </c>
      <c r="AB40" s="93" t="str">
        <f t="shared" si="0"/>
        <v>JUN-2022</v>
      </c>
      <c r="AC40" s="92" t="str">
        <f t="shared" si="0"/>
        <v>JUL-2022</v>
      </c>
      <c r="AD40" s="92" t="str">
        <f t="shared" si="0"/>
        <v>AUG-2022</v>
      </c>
      <c r="AE40" s="92" t="str">
        <f t="shared" si="0"/>
        <v>SEP-2022</v>
      </c>
      <c r="AF40" s="92" t="str">
        <f t="shared" si="0"/>
        <v>OCT-2022</v>
      </c>
      <c r="AG40" s="92" t="str">
        <f t="shared" si="0"/>
        <v>NOV-2022</v>
      </c>
      <c r="AH40" s="92" t="str">
        <f t="shared" si="0"/>
        <v>DEC-2022</v>
      </c>
      <c r="AI40" s="92" t="str">
        <f t="shared" si="0"/>
        <v>JAN-2023</v>
      </c>
      <c r="AJ40" s="92" t="str">
        <f t="shared" si="0"/>
        <v>FEB-2023</v>
      </c>
      <c r="AK40" s="92" t="str">
        <f t="shared" si="0"/>
        <v>MAR-2023</v>
      </c>
      <c r="AL40" s="92" t="str">
        <f t="shared" si="0"/>
        <v>APR-2023</v>
      </c>
      <c r="AM40" s="92" t="str">
        <f t="shared" si="0"/>
        <v>MAY-2023</v>
      </c>
      <c r="AN40" s="92" t="str">
        <f t="shared" si="0"/>
        <v>JUN-2023</v>
      </c>
    </row>
    <row r="41" spans="2:43" x14ac:dyDescent="0.3">
      <c r="D41" s="81" t="s">
        <v>118</v>
      </c>
      <c r="E41" s="8">
        <f>E77-E108</f>
        <v>8941.8599999999933</v>
      </c>
      <c r="F41" s="8">
        <f t="shared" ref="F41:AN41" si="1">F77-F108</f>
        <v>-25024.366000000002</v>
      </c>
      <c r="G41" s="8">
        <f t="shared" si="1"/>
        <v>-21317.140999999996</v>
      </c>
      <c r="H41" s="8">
        <f t="shared" si="1"/>
        <v>104972.81700000002</v>
      </c>
      <c r="I41" s="8">
        <f t="shared" si="1"/>
        <v>99205.518000000011</v>
      </c>
      <c r="J41" s="8">
        <f t="shared" si="1"/>
        <v>-47218.812000000005</v>
      </c>
      <c r="K41" s="8">
        <f t="shared" si="1"/>
        <v>-109138.91099999999</v>
      </c>
      <c r="L41" s="8">
        <f t="shared" si="1"/>
        <v>-6038.7449999999953</v>
      </c>
      <c r="M41" s="8">
        <f t="shared" si="1"/>
        <v>32545.257999999994</v>
      </c>
      <c r="N41" s="8">
        <f t="shared" si="1"/>
        <v>133437.66200000001</v>
      </c>
      <c r="O41" s="8">
        <f t="shared" si="1"/>
        <v>-34307.546999999991</v>
      </c>
      <c r="P41" s="82">
        <f t="shared" si="1"/>
        <v>-101022.62100000001</v>
      </c>
      <c r="Q41" s="8">
        <f t="shared" si="1"/>
        <v>-9038.87673227903</v>
      </c>
      <c r="R41" s="8">
        <f t="shared" si="1"/>
        <v>372.16290545553056</v>
      </c>
      <c r="S41" s="8">
        <f t="shared" si="1"/>
        <v>9279.3641699510554</v>
      </c>
      <c r="T41" s="8">
        <f t="shared" si="1"/>
        <v>102663.30741351347</v>
      </c>
      <c r="U41" s="8">
        <f t="shared" si="1"/>
        <v>89762.895476847538</v>
      </c>
      <c r="V41" s="8">
        <f t="shared" si="1"/>
        <v>-64651.103799234814</v>
      </c>
      <c r="W41" s="8">
        <f t="shared" si="1"/>
        <v>-100844.97028469598</v>
      </c>
      <c r="X41" s="8">
        <f t="shared" si="1"/>
        <v>-8663.8947397740194</v>
      </c>
      <c r="Y41" s="8">
        <f t="shared" si="1"/>
        <v>25557.839978056625</v>
      </c>
      <c r="Z41" s="8">
        <f t="shared" si="1"/>
        <v>123398.96424497635</v>
      </c>
      <c r="AA41" s="8">
        <f t="shared" si="1"/>
        <v>-78140.04568654194</v>
      </c>
      <c r="AB41" s="82">
        <f t="shared" si="1"/>
        <v>-43915.067470385751</v>
      </c>
      <c r="AC41" s="8">
        <f t="shared" si="1"/>
        <v>-10159.53886713686</v>
      </c>
      <c r="AD41" s="8">
        <f t="shared" si="1"/>
        <v>-493.07308408369136</v>
      </c>
      <c r="AE41" s="8">
        <f t="shared" si="1"/>
        <v>8565.2051773931344</v>
      </c>
      <c r="AF41" s="8">
        <f t="shared" si="1"/>
        <v>105246.02709923861</v>
      </c>
      <c r="AG41" s="8">
        <f t="shared" si="1"/>
        <v>91699.804081608178</v>
      </c>
      <c r="AH41" s="8">
        <f t="shared" si="1"/>
        <v>-67662.041026824678</v>
      </c>
      <c r="AI41" s="8">
        <f t="shared" si="1"/>
        <v>-104786.87721811055</v>
      </c>
      <c r="AJ41" s="8">
        <f t="shared" si="1"/>
        <v>-9666.4775949076138</v>
      </c>
      <c r="AK41" s="8">
        <f t="shared" si="1"/>
        <v>25824.615580399397</v>
      </c>
      <c r="AL41" s="8">
        <f t="shared" si="1"/>
        <v>126544.7466545573</v>
      </c>
      <c r="AM41" s="8">
        <f t="shared" si="1"/>
        <v>-81796.933503426015</v>
      </c>
      <c r="AN41" s="8">
        <f t="shared" si="1"/>
        <v>-46222.244303618107</v>
      </c>
      <c r="AP41" s="135"/>
    </row>
    <row r="42" spans="2:43" x14ac:dyDescent="0.3">
      <c r="D42" s="81" t="s">
        <v>117</v>
      </c>
      <c r="E42" s="8">
        <f>E41</f>
        <v>8941.8599999999933</v>
      </c>
      <c r="F42" s="8">
        <f>E42+F41</f>
        <v>-16082.506000000008</v>
      </c>
      <c r="G42" s="8">
        <f t="shared" ref="G42:P42" si="2">F42+G41</f>
        <v>-37399.647000000004</v>
      </c>
      <c r="H42" s="8">
        <f t="shared" si="2"/>
        <v>67573.170000000013</v>
      </c>
      <c r="I42" s="8">
        <f t="shared" si="2"/>
        <v>166778.68800000002</v>
      </c>
      <c r="J42" s="8">
        <f t="shared" si="2"/>
        <v>119559.87600000002</v>
      </c>
      <c r="K42" s="8">
        <f t="shared" si="2"/>
        <v>10420.965000000026</v>
      </c>
      <c r="L42" s="8">
        <f t="shared" si="2"/>
        <v>4382.2200000000303</v>
      </c>
      <c r="M42" s="8">
        <f t="shared" si="2"/>
        <v>36927.478000000025</v>
      </c>
      <c r="N42" s="8">
        <f t="shared" si="2"/>
        <v>170365.14000000004</v>
      </c>
      <c r="O42" s="8">
        <f t="shared" si="2"/>
        <v>136057.59300000005</v>
      </c>
      <c r="P42" s="82">
        <f t="shared" si="2"/>
        <v>35034.972000000038</v>
      </c>
      <c r="Q42" s="8">
        <f>Q41</f>
        <v>-9038.87673227903</v>
      </c>
      <c r="R42" s="8">
        <f>Q42+R41</f>
        <v>-8666.7138268234994</v>
      </c>
      <c r="S42" s="8">
        <f t="shared" ref="S42:AB42" si="3">R42+S41</f>
        <v>612.65034312755597</v>
      </c>
      <c r="T42" s="8">
        <f t="shared" si="3"/>
        <v>103275.95775664103</v>
      </c>
      <c r="U42" s="8">
        <f t="shared" si="3"/>
        <v>193038.85323348857</v>
      </c>
      <c r="V42" s="8">
        <f t="shared" si="3"/>
        <v>128387.74943425375</v>
      </c>
      <c r="W42" s="8">
        <f t="shared" si="3"/>
        <v>27542.779149557769</v>
      </c>
      <c r="X42" s="8">
        <f t="shared" si="3"/>
        <v>18878.88440978375</v>
      </c>
      <c r="Y42" s="8">
        <f t="shared" si="3"/>
        <v>44436.724387840375</v>
      </c>
      <c r="Z42" s="8">
        <f t="shared" si="3"/>
        <v>167835.68863281672</v>
      </c>
      <c r="AA42" s="8">
        <f t="shared" si="3"/>
        <v>89695.642946274776</v>
      </c>
      <c r="AB42" s="82">
        <f t="shared" si="3"/>
        <v>45780.575475889025</v>
      </c>
      <c r="AC42" s="8">
        <f>AC41</f>
        <v>-10159.53886713686</v>
      </c>
      <c r="AD42" s="8">
        <f>AC42+AD41</f>
        <v>-10652.611951220551</v>
      </c>
      <c r="AE42" s="8">
        <f t="shared" ref="AE42:AN42" si="4">AD42+AE41</f>
        <v>-2087.4067738274171</v>
      </c>
      <c r="AF42" s="8">
        <f t="shared" si="4"/>
        <v>103158.62032541119</v>
      </c>
      <c r="AG42" s="8">
        <f t="shared" si="4"/>
        <v>194858.42440701937</v>
      </c>
      <c r="AH42" s="8">
        <f t="shared" si="4"/>
        <v>127196.38338019469</v>
      </c>
      <c r="AI42" s="8">
        <f t="shared" si="4"/>
        <v>22409.506162084144</v>
      </c>
      <c r="AJ42" s="8">
        <f t="shared" si="4"/>
        <v>12743.02856717653</v>
      </c>
      <c r="AK42" s="8">
        <f t="shared" si="4"/>
        <v>38567.644147575927</v>
      </c>
      <c r="AL42" s="8">
        <f t="shared" si="4"/>
        <v>165112.39080213322</v>
      </c>
      <c r="AM42" s="8">
        <f t="shared" si="4"/>
        <v>83315.457298707202</v>
      </c>
      <c r="AN42" s="8">
        <f t="shared" si="4"/>
        <v>37093.212995089096</v>
      </c>
    </row>
    <row r="43" spans="2:43" x14ac:dyDescent="0.3">
      <c r="D43" s="81" t="s">
        <v>119</v>
      </c>
      <c r="E43" s="8">
        <f>E41</f>
        <v>8941.8599999999933</v>
      </c>
      <c r="F43" s="8">
        <f>E43+F41</f>
        <v>-16082.506000000008</v>
      </c>
      <c r="G43" s="8">
        <f t="shared" ref="G43:AN43" si="5">F43+G41</f>
        <v>-37399.647000000004</v>
      </c>
      <c r="H43" s="8">
        <f t="shared" si="5"/>
        <v>67573.170000000013</v>
      </c>
      <c r="I43" s="8">
        <f t="shared" si="5"/>
        <v>166778.68800000002</v>
      </c>
      <c r="J43" s="8">
        <f t="shared" si="5"/>
        <v>119559.87600000002</v>
      </c>
      <c r="K43" s="8">
        <f t="shared" si="5"/>
        <v>10420.965000000026</v>
      </c>
      <c r="L43" s="8">
        <f t="shared" si="5"/>
        <v>4382.2200000000303</v>
      </c>
      <c r="M43" s="8">
        <f t="shared" si="5"/>
        <v>36927.478000000025</v>
      </c>
      <c r="N43" s="8">
        <f t="shared" si="5"/>
        <v>170365.14000000004</v>
      </c>
      <c r="O43" s="8">
        <f t="shared" si="5"/>
        <v>136057.59300000005</v>
      </c>
      <c r="P43" s="82">
        <f t="shared" si="5"/>
        <v>35034.972000000038</v>
      </c>
      <c r="Q43" s="8">
        <f t="shared" si="5"/>
        <v>25996.095267721008</v>
      </c>
      <c r="R43" s="8">
        <f t="shared" si="5"/>
        <v>26368.258173176539</v>
      </c>
      <c r="S43" s="8">
        <f t="shared" si="5"/>
        <v>35647.622343127594</v>
      </c>
      <c r="T43" s="8">
        <f t="shared" si="5"/>
        <v>138310.92975664107</v>
      </c>
      <c r="U43" s="8">
        <f t="shared" si="5"/>
        <v>228073.82523348861</v>
      </c>
      <c r="V43" s="8">
        <f t="shared" si="5"/>
        <v>163422.72143425379</v>
      </c>
      <c r="W43" s="8">
        <f t="shared" si="5"/>
        <v>62577.751149557807</v>
      </c>
      <c r="X43" s="8">
        <f t="shared" si="5"/>
        <v>53913.856409783788</v>
      </c>
      <c r="Y43" s="8">
        <f t="shared" si="5"/>
        <v>79471.696387840406</v>
      </c>
      <c r="Z43" s="8">
        <f t="shared" si="5"/>
        <v>202870.66063281675</v>
      </c>
      <c r="AA43" s="8">
        <f t="shared" si="5"/>
        <v>124730.61494627481</v>
      </c>
      <c r="AB43" s="82">
        <f t="shared" si="5"/>
        <v>80815.547475889063</v>
      </c>
      <c r="AC43" s="8">
        <f t="shared" si="5"/>
        <v>70656.008608752207</v>
      </c>
      <c r="AD43" s="8">
        <f t="shared" si="5"/>
        <v>70162.935524668515</v>
      </c>
      <c r="AE43" s="8">
        <f t="shared" si="5"/>
        <v>78728.140702061646</v>
      </c>
      <c r="AF43" s="8">
        <f t="shared" si="5"/>
        <v>183974.16780130024</v>
      </c>
      <c r="AG43" s="8">
        <f t="shared" si="5"/>
        <v>275673.97188290843</v>
      </c>
      <c r="AH43" s="8">
        <f t="shared" si="5"/>
        <v>208011.93085608375</v>
      </c>
      <c r="AI43" s="8">
        <f t="shared" si="5"/>
        <v>103225.05363797321</v>
      </c>
      <c r="AJ43" s="8">
        <f t="shared" si="5"/>
        <v>93558.576043065594</v>
      </c>
      <c r="AK43" s="8">
        <f t="shared" si="5"/>
        <v>119383.19162346498</v>
      </c>
      <c r="AL43" s="8">
        <f t="shared" si="5"/>
        <v>245927.93827802228</v>
      </c>
      <c r="AM43" s="8">
        <f t="shared" si="5"/>
        <v>164131.00477459625</v>
      </c>
      <c r="AN43" s="8">
        <f t="shared" si="5"/>
        <v>117908.76047097814</v>
      </c>
    </row>
    <row r="44" spans="2:43" x14ac:dyDescent="0.3">
      <c r="P44" s="83"/>
      <c r="AB44" s="83"/>
    </row>
    <row r="45" spans="2:43" ht="15" thickBot="1" x14ac:dyDescent="0.35">
      <c r="B45" s="42"/>
      <c r="C45" s="42"/>
      <c r="D45" s="79" t="s">
        <v>115</v>
      </c>
      <c r="E45" s="94">
        <v>69432</v>
      </c>
      <c r="F45" s="94">
        <v>45380</v>
      </c>
      <c r="G45" s="94">
        <v>22495</v>
      </c>
      <c r="H45" s="94"/>
      <c r="I45" s="94"/>
      <c r="J45" s="94"/>
      <c r="K45" s="94"/>
      <c r="L45" s="94"/>
      <c r="M45" s="94"/>
      <c r="N45" s="95"/>
      <c r="O45" s="95"/>
      <c r="P45" s="96"/>
      <c r="Q45" s="97"/>
      <c r="R45" s="97"/>
      <c r="S45" s="97"/>
      <c r="T45" s="97"/>
      <c r="U45" s="97"/>
      <c r="V45" s="97"/>
      <c r="W45" s="97"/>
      <c r="X45" s="97"/>
      <c r="Y45" s="97"/>
      <c r="Z45" s="97"/>
      <c r="AA45" s="97"/>
      <c r="AB45" s="98"/>
      <c r="AC45" s="97"/>
      <c r="AD45" s="97"/>
      <c r="AE45" s="97"/>
      <c r="AF45" s="97"/>
      <c r="AG45" s="97"/>
      <c r="AH45" s="97"/>
      <c r="AI45" s="97"/>
      <c r="AJ45" s="97"/>
      <c r="AK45" s="97"/>
      <c r="AL45" s="97"/>
      <c r="AM45" s="97"/>
      <c r="AN45" s="99"/>
    </row>
    <row r="46" spans="2:43" ht="15" thickBot="1" x14ac:dyDescent="0.35">
      <c r="B46" s="11" t="s">
        <v>13</v>
      </c>
      <c r="C46" s="1">
        <v>60312</v>
      </c>
      <c r="D46" s="12"/>
      <c r="E46" s="13" t="str">
        <f>'2-Data Input &amp; Assumptions'!C210</f>
        <v>JUL-2020</v>
      </c>
      <c r="F46" s="14" t="str">
        <f>'2-Data Input &amp; Assumptions'!D210</f>
        <v>AUG-2020</v>
      </c>
      <c r="G46" s="14" t="str">
        <f>'2-Data Input &amp; Assumptions'!E210</f>
        <v>SEP-2020</v>
      </c>
      <c r="H46" s="14" t="str">
        <f>'2-Data Input &amp; Assumptions'!F210</f>
        <v>OCT-2020</v>
      </c>
      <c r="I46" s="14" t="str">
        <f>'2-Data Input &amp; Assumptions'!G210</f>
        <v>NOV-2020</v>
      </c>
      <c r="J46" s="14" t="str">
        <f>'2-Data Input &amp; Assumptions'!H210</f>
        <v>DEC-2020</v>
      </c>
      <c r="K46" s="14" t="str">
        <f>'2-Data Input &amp; Assumptions'!I210</f>
        <v>JAN-2021</v>
      </c>
      <c r="L46" s="14" t="str">
        <f>'2-Data Input &amp; Assumptions'!J210</f>
        <v>FEB-2021</v>
      </c>
      <c r="M46" s="14" t="str">
        <f>'2-Data Input &amp; Assumptions'!K210</f>
        <v>MAR-2021</v>
      </c>
      <c r="N46" s="14" t="str">
        <f>'2-Data Input &amp; Assumptions'!L210</f>
        <v>APR-2021</v>
      </c>
      <c r="O46" s="14" t="str">
        <f>'2-Data Input &amp; Assumptions'!M210</f>
        <v>MAY-2021</v>
      </c>
      <c r="P46" s="84" t="str">
        <f>'2-Data Input &amp; Assumptions'!N210</f>
        <v>JUN-2021</v>
      </c>
      <c r="Q46" s="76" t="str">
        <f>CONCATENATE(LEFT(E46,4),(RIGHT(E46,4)+1))</f>
        <v>JUL-2021</v>
      </c>
      <c r="R46" s="76" t="str">
        <f t="shared" ref="R46:AA46" si="6">CONCATENATE(LEFT(F46,4),(RIGHT(F46,4)+1))</f>
        <v>AUG-2021</v>
      </c>
      <c r="S46" s="76" t="str">
        <f t="shared" si="6"/>
        <v>SEP-2021</v>
      </c>
      <c r="T46" s="76" t="str">
        <f t="shared" si="6"/>
        <v>OCT-2021</v>
      </c>
      <c r="U46" s="76" t="str">
        <f t="shared" si="6"/>
        <v>NOV-2021</v>
      </c>
      <c r="V46" s="76" t="str">
        <f t="shared" si="6"/>
        <v>DEC-2021</v>
      </c>
      <c r="W46" s="76" t="str">
        <f t="shared" si="6"/>
        <v>JAN-2022</v>
      </c>
      <c r="X46" s="76" t="str">
        <f t="shared" si="6"/>
        <v>FEB-2022</v>
      </c>
      <c r="Y46" s="76" t="str">
        <f t="shared" si="6"/>
        <v>MAR-2022</v>
      </c>
      <c r="Z46" s="76" t="str">
        <f t="shared" si="6"/>
        <v>APR-2022</v>
      </c>
      <c r="AA46" s="76" t="str">
        <f t="shared" si="6"/>
        <v>MAY-2022</v>
      </c>
      <c r="AB46" s="133" t="str">
        <f t="shared" ref="AB46" si="7">CONCATENATE(LEFT(P46,4),(RIGHT(P46,4)+1))</f>
        <v>JUN-2022</v>
      </c>
      <c r="AC46" s="76" t="str">
        <f t="shared" ref="AC46" si="8">CONCATENATE(LEFT(Q46,4),(RIGHT(Q46,4)+1))</f>
        <v>JUL-2022</v>
      </c>
      <c r="AD46" s="76" t="str">
        <f t="shared" ref="AD46" si="9">CONCATENATE(LEFT(R46,4),(RIGHT(R46,4)+1))</f>
        <v>AUG-2022</v>
      </c>
      <c r="AE46" s="76" t="str">
        <f t="shared" ref="AE46" si="10">CONCATENATE(LEFT(S46,4),(RIGHT(S46,4)+1))</f>
        <v>SEP-2022</v>
      </c>
      <c r="AF46" s="76" t="str">
        <f t="shared" ref="AF46" si="11">CONCATENATE(LEFT(T46,4),(RIGHT(T46,4)+1))</f>
        <v>OCT-2022</v>
      </c>
      <c r="AG46" s="76" t="str">
        <f t="shared" ref="AG46" si="12">CONCATENATE(LEFT(U46,4),(RIGHT(U46,4)+1))</f>
        <v>NOV-2022</v>
      </c>
      <c r="AH46" s="76" t="str">
        <f t="shared" ref="AH46" si="13">CONCATENATE(LEFT(V46,4),(RIGHT(V46,4)+1))</f>
        <v>DEC-2022</v>
      </c>
      <c r="AI46" s="76" t="str">
        <f t="shared" ref="AI46" si="14">CONCATENATE(LEFT(W46,4),(RIGHT(W46,4)+1))</f>
        <v>JAN-2023</v>
      </c>
      <c r="AJ46" s="76" t="str">
        <f t="shared" ref="AJ46" si="15">CONCATENATE(LEFT(X46,4),(RIGHT(X46,4)+1))</f>
        <v>FEB-2023</v>
      </c>
      <c r="AK46" s="76" t="str">
        <f t="shared" ref="AK46" si="16">CONCATENATE(LEFT(Y46,4),(RIGHT(Y46,4)+1))</f>
        <v>MAR-2023</v>
      </c>
      <c r="AL46" s="76" t="str">
        <f t="shared" ref="AL46" si="17">CONCATENATE(LEFT(Z46,4),(RIGHT(Z46,4)+1))</f>
        <v>APR-2023</v>
      </c>
      <c r="AM46" s="76" t="str">
        <f t="shared" ref="AM46" si="18">CONCATENATE(LEFT(AA46,4),(RIGHT(AA46,4)+1))</f>
        <v>MAY-2023</v>
      </c>
      <c r="AN46" s="76" t="str">
        <f t="shared" ref="AN46" si="19">CONCATENATE(LEFT(AB46,4),(RIGHT(AB46,4)+1))</f>
        <v>JUN-2023</v>
      </c>
    </row>
    <row r="47" spans="2:43" x14ac:dyDescent="0.3">
      <c r="B47" s="15"/>
      <c r="C47" s="16"/>
      <c r="D47" s="17" t="str">
        <f>'2-Data Input &amp; Assumptions'!A9</f>
        <v>PROPERTY TAX</v>
      </c>
      <c r="E47" s="18">
        <f>'2-Data Input &amp; Assumptions'!C212/1000</f>
        <v>2548.0639999999999</v>
      </c>
      <c r="F47" s="18">
        <f>'2-Data Input &amp; Assumptions'!D212/1000</f>
        <v>1966.335</v>
      </c>
      <c r="G47" s="18">
        <f>'2-Data Input &amp; Assumptions'!E212/1000</f>
        <v>4604.9629999999997</v>
      </c>
      <c r="H47" s="18">
        <f>'2-Data Input &amp; Assumptions'!F212/1000</f>
        <v>121001.1</v>
      </c>
      <c r="I47" s="18">
        <f>'2-Data Input &amp; Assumptions'!G212/1000</f>
        <v>157497.5</v>
      </c>
      <c r="J47" s="18">
        <f>'2-Data Input &amp; Assumptions'!H212/1000</f>
        <v>5859.4</v>
      </c>
      <c r="K47" s="18">
        <f>'2-Data Input &amp; Assumptions'!I212/1000</f>
        <v>4087.9</v>
      </c>
      <c r="L47" s="18">
        <f>'2-Data Input &amp; Assumptions'!J212/1000</f>
        <v>5811.4</v>
      </c>
      <c r="M47" s="18">
        <f>'2-Data Input &amp; Assumptions'!K212/1000</f>
        <v>47877</v>
      </c>
      <c r="N47" s="18">
        <f>'2-Data Input &amp; Assumptions'!L212/1000</f>
        <v>197170.6</v>
      </c>
      <c r="O47" s="18">
        <f>'2-Data Input &amp; Assumptions'!M212/1000</f>
        <v>4896.5</v>
      </c>
      <c r="P47" s="85">
        <f>'2-Data Input &amp; Assumptions'!N212/1000</f>
        <v>4892.3999999999996</v>
      </c>
      <c r="Q47" s="21">
        <f>'2-Data Input &amp; Assumptions'!C281/1000</f>
        <v>3736.9965840561035</v>
      </c>
      <c r="R47" s="21">
        <f>'2-Data Input &amp; Assumptions'!D281/1000</f>
        <v>1967.4940796100977</v>
      </c>
      <c r="S47" s="21">
        <f>'2-Data Input &amp; Assumptions'!E281/1000</f>
        <v>8716.2734906834939</v>
      </c>
      <c r="T47" s="21">
        <f>'2-Data Input &amp; Assumptions'!F281/1000</f>
        <v>121025.50012074737</v>
      </c>
      <c r="U47" s="21">
        <f>'2-Data Input &amp; Assumptions'!G281/1000</f>
        <v>152310.22347702205</v>
      </c>
      <c r="V47" s="21">
        <f>'2-Data Input &amp; Assumptions'!H281/1000</f>
        <v>5758.1621952686683</v>
      </c>
      <c r="W47" s="21">
        <f>'2-Data Input &amp; Assumptions'!I281/1000</f>
        <v>4226.3933894069278</v>
      </c>
      <c r="X47" s="21">
        <f>'2-Data Input &amp; Assumptions'!J281/1000</f>
        <v>5523.1894501371844</v>
      </c>
      <c r="Y47" s="21">
        <f>'2-Data Input &amp; Assumptions'!K281/1000</f>
        <v>46558.764574297405</v>
      </c>
      <c r="Z47" s="21">
        <f>'2-Data Input &amp; Assumptions'!L281/1000</f>
        <v>193518.33567282351</v>
      </c>
      <c r="AA47" s="21">
        <f>'2-Data Input &amp; Assumptions'!M281/1000</f>
        <v>6043.6537899491796</v>
      </c>
      <c r="AB47" s="86">
        <f>'2-Data Input &amp; Assumptions'!N281/1000</f>
        <v>4534.0071759979764</v>
      </c>
      <c r="AC47" s="21">
        <f>Q47*(1+'2-Data Input &amp; Assumptions'!$G349)</f>
        <v>3849.1064815777868</v>
      </c>
      <c r="AD47" s="21">
        <f>R47*(1+'2-Data Input &amp; Assumptions'!$G349)</f>
        <v>2026.5189019984007</v>
      </c>
      <c r="AE47" s="21">
        <f>S47*(1+'2-Data Input &amp; Assumptions'!$G349)</f>
        <v>8977.7616954039986</v>
      </c>
      <c r="AF47" s="21">
        <f>T47*(1+'2-Data Input &amp; Assumptions'!$G349)</f>
        <v>124656.26512436979</v>
      </c>
      <c r="AG47" s="21">
        <f>U47*(1+'2-Data Input &amp; Assumptions'!$G349)</f>
        <v>156879.53018133272</v>
      </c>
      <c r="AH47" s="21">
        <f>V47*(1+'2-Data Input &amp; Assumptions'!$G349)</f>
        <v>5930.9070611267289</v>
      </c>
      <c r="AI47" s="21">
        <f>W47*(1+'2-Data Input &amp; Assumptions'!$G349)</f>
        <v>4353.1851910891355</v>
      </c>
      <c r="AJ47" s="21">
        <f>X47*(1+'2-Data Input &amp; Assumptions'!$G349)</f>
        <v>5688.8851336412999</v>
      </c>
      <c r="AK47" s="21">
        <f>Y47*(1+'2-Data Input &amp; Assumptions'!$G349)</f>
        <v>47955.527511526328</v>
      </c>
      <c r="AL47" s="21">
        <f>Z47*(1+'2-Data Input &amp; Assumptions'!$G349)</f>
        <v>199323.88574300823</v>
      </c>
      <c r="AM47" s="21">
        <f>AA47*(1+'2-Data Input &amp; Assumptions'!$G349)</f>
        <v>6224.9634036476555</v>
      </c>
      <c r="AN47" s="21">
        <f>AB47*(1+'2-Data Input &amp; Assumptions'!$G349)</f>
        <v>4670.0273912779157</v>
      </c>
    </row>
    <row r="48" spans="2:43" x14ac:dyDescent="0.3">
      <c r="B48" s="19"/>
      <c r="C48" s="12"/>
      <c r="D48" s="20" t="str">
        <f>'2-Data Input &amp; Assumptions'!A10</f>
        <v>SALES &amp; USE TAX</v>
      </c>
      <c r="E48" s="21">
        <f>'2-Data Input &amp; Assumptions'!C213/1000</f>
        <v>0</v>
      </c>
      <c r="F48" s="21">
        <f>'2-Data Input &amp; Assumptions'!D213/1000</f>
        <v>0</v>
      </c>
      <c r="G48" s="21">
        <f>'2-Data Input &amp; Assumptions'!E213/1000</f>
        <v>0</v>
      </c>
      <c r="H48" s="21">
        <f>'2-Data Input &amp; Assumptions'!F213/1000</f>
        <v>0</v>
      </c>
      <c r="I48" s="21">
        <f>'2-Data Input &amp; Assumptions'!G213/1000</f>
        <v>0</v>
      </c>
      <c r="J48" s="21">
        <f>'2-Data Input &amp; Assumptions'!H213/1000</f>
        <v>0</v>
      </c>
      <c r="K48" s="21">
        <f>'2-Data Input &amp; Assumptions'!I213/1000</f>
        <v>0</v>
      </c>
      <c r="L48" s="21">
        <f>'2-Data Input &amp; Assumptions'!J213/1000</f>
        <v>0</v>
      </c>
      <c r="M48" s="21">
        <f>'2-Data Input &amp; Assumptions'!K213/1000</f>
        <v>0</v>
      </c>
      <c r="N48" s="21">
        <f>'2-Data Input &amp; Assumptions'!L213/1000</f>
        <v>0</v>
      </c>
      <c r="O48" s="21">
        <f>'2-Data Input &amp; Assumptions'!M213/1000</f>
        <v>0</v>
      </c>
      <c r="P48" s="86">
        <f>'2-Data Input &amp; Assumptions'!N213/1000</f>
        <v>0</v>
      </c>
      <c r="Q48" s="21">
        <f>'2-Data Input &amp; Assumptions'!C282/1000</f>
        <v>0</v>
      </c>
      <c r="R48" s="21">
        <f>'2-Data Input &amp; Assumptions'!D282/1000</f>
        <v>0</v>
      </c>
      <c r="S48" s="21">
        <f>'2-Data Input &amp; Assumptions'!E282/1000</f>
        <v>0</v>
      </c>
      <c r="T48" s="21">
        <f>'2-Data Input &amp; Assumptions'!F282/1000</f>
        <v>0</v>
      </c>
      <c r="U48" s="21">
        <f>'2-Data Input &amp; Assumptions'!G282/1000</f>
        <v>0</v>
      </c>
      <c r="V48" s="21">
        <f>'2-Data Input &amp; Assumptions'!H282/1000</f>
        <v>0</v>
      </c>
      <c r="W48" s="21">
        <f>'2-Data Input &amp; Assumptions'!I282/1000</f>
        <v>0</v>
      </c>
      <c r="X48" s="21">
        <f>'2-Data Input &amp; Assumptions'!J282/1000</f>
        <v>0</v>
      </c>
      <c r="Y48" s="21">
        <f>'2-Data Input &amp; Assumptions'!K282/1000</f>
        <v>0</v>
      </c>
      <c r="Z48" s="21">
        <f>'2-Data Input &amp; Assumptions'!L282/1000</f>
        <v>0</v>
      </c>
      <c r="AA48" s="21">
        <f>'2-Data Input &amp; Assumptions'!M282/1000</f>
        <v>0</v>
      </c>
      <c r="AB48" s="86">
        <f>'2-Data Input &amp; Assumptions'!N282/1000</f>
        <v>0</v>
      </c>
      <c r="AC48" s="21">
        <f>Q48*(1+'2-Data Input &amp; Assumptions'!$G350)</f>
        <v>0</v>
      </c>
      <c r="AD48" s="21">
        <f>R48*(1+'2-Data Input &amp; Assumptions'!$G350)</f>
        <v>0</v>
      </c>
      <c r="AE48" s="21">
        <f>S48*(1+'2-Data Input &amp; Assumptions'!$G350)</f>
        <v>0</v>
      </c>
      <c r="AF48" s="21">
        <f>T48*(1+'2-Data Input &amp; Assumptions'!$G350)</f>
        <v>0</v>
      </c>
      <c r="AG48" s="21">
        <f>U48*(1+'2-Data Input &amp; Assumptions'!$G350)</f>
        <v>0</v>
      </c>
      <c r="AH48" s="21">
        <f>V48*(1+'2-Data Input &amp; Assumptions'!$G350)</f>
        <v>0</v>
      </c>
      <c r="AI48" s="21">
        <f>W48*(1+'2-Data Input &amp; Assumptions'!$G350)</f>
        <v>0</v>
      </c>
      <c r="AJ48" s="21">
        <f>X48*(1+'2-Data Input &amp; Assumptions'!$G350)</f>
        <v>0</v>
      </c>
      <c r="AK48" s="21">
        <f>Y48*(1+'2-Data Input &amp; Assumptions'!$G350)</f>
        <v>0</v>
      </c>
      <c r="AL48" s="21">
        <f>Z48*(1+'2-Data Input &amp; Assumptions'!$G350)</f>
        <v>0</v>
      </c>
      <c r="AM48" s="21">
        <f>AA48*(1+'2-Data Input &amp; Assumptions'!$G350)</f>
        <v>0</v>
      </c>
      <c r="AN48" s="21">
        <f>AB48*(1+'2-Data Input &amp; Assumptions'!$G350)</f>
        <v>0</v>
      </c>
    </row>
    <row r="49" spans="2:45" x14ac:dyDescent="0.3">
      <c r="B49" s="19"/>
      <c r="C49" s="12"/>
      <c r="D49" s="20" t="str">
        <f>'2-Data Input &amp; Assumptions'!A11</f>
        <v>FEES &amp; PERMITS</v>
      </c>
      <c r="E49" s="21">
        <f>'2-Data Input &amp; Assumptions'!C214/1000</f>
        <v>0</v>
      </c>
      <c r="F49" s="21">
        <f>'2-Data Input &amp; Assumptions'!D214/1000</f>
        <v>0</v>
      </c>
      <c r="G49" s="21">
        <f>'2-Data Input &amp; Assumptions'!E214/1000</f>
        <v>0</v>
      </c>
      <c r="H49" s="21">
        <f>'2-Data Input &amp; Assumptions'!F214/1000</f>
        <v>0</v>
      </c>
      <c r="I49" s="21">
        <f>'2-Data Input &amp; Assumptions'!G214/1000</f>
        <v>0</v>
      </c>
      <c r="J49" s="21">
        <f>'2-Data Input &amp; Assumptions'!H214/1000</f>
        <v>0</v>
      </c>
      <c r="K49" s="21">
        <f>'2-Data Input &amp; Assumptions'!I214/1000</f>
        <v>0</v>
      </c>
      <c r="L49" s="21">
        <f>'2-Data Input &amp; Assumptions'!J214/1000</f>
        <v>0</v>
      </c>
      <c r="M49" s="21">
        <f>'2-Data Input &amp; Assumptions'!K214/1000</f>
        <v>0</v>
      </c>
      <c r="N49" s="21">
        <f>'2-Data Input &amp; Assumptions'!L214/1000</f>
        <v>0</v>
      </c>
      <c r="O49" s="21">
        <f>'2-Data Input &amp; Assumptions'!M214/1000</f>
        <v>0</v>
      </c>
      <c r="P49" s="86">
        <f>'2-Data Input &amp; Assumptions'!N214/1000</f>
        <v>0</v>
      </c>
      <c r="Q49" s="21">
        <f>'2-Data Input &amp; Assumptions'!C283/1000</f>
        <v>0</v>
      </c>
      <c r="R49" s="21">
        <f>'2-Data Input &amp; Assumptions'!D283/1000</f>
        <v>0</v>
      </c>
      <c r="S49" s="21">
        <f>'2-Data Input &amp; Assumptions'!E283/1000</f>
        <v>0</v>
      </c>
      <c r="T49" s="21">
        <f>'2-Data Input &amp; Assumptions'!F283/1000</f>
        <v>0</v>
      </c>
      <c r="U49" s="21">
        <f>'2-Data Input &amp; Assumptions'!G283/1000</f>
        <v>0</v>
      </c>
      <c r="V49" s="21">
        <f>'2-Data Input &amp; Assumptions'!H283/1000</f>
        <v>0</v>
      </c>
      <c r="W49" s="21">
        <f>'2-Data Input &amp; Assumptions'!I283/1000</f>
        <v>0</v>
      </c>
      <c r="X49" s="21">
        <f>'2-Data Input &amp; Assumptions'!J283/1000</f>
        <v>0</v>
      </c>
      <c r="Y49" s="21">
        <f>'2-Data Input &amp; Assumptions'!K283/1000</f>
        <v>0</v>
      </c>
      <c r="Z49" s="21">
        <f>'2-Data Input &amp; Assumptions'!L283/1000</f>
        <v>0</v>
      </c>
      <c r="AA49" s="21">
        <f>'2-Data Input &amp; Assumptions'!M283/1000</f>
        <v>0</v>
      </c>
      <c r="AB49" s="86">
        <f>'2-Data Input &amp; Assumptions'!N283/1000</f>
        <v>0</v>
      </c>
      <c r="AC49" s="21">
        <f>Q49*(1+'2-Data Input &amp; Assumptions'!$G351)</f>
        <v>0</v>
      </c>
      <c r="AD49" s="21">
        <f>R49*(1+'2-Data Input &amp; Assumptions'!$G351)</f>
        <v>0</v>
      </c>
      <c r="AE49" s="21">
        <f>S49*(1+'2-Data Input &amp; Assumptions'!$G351)</f>
        <v>0</v>
      </c>
      <c r="AF49" s="21">
        <f>T49*(1+'2-Data Input &amp; Assumptions'!$G351)</f>
        <v>0</v>
      </c>
      <c r="AG49" s="21">
        <f>U49*(1+'2-Data Input &amp; Assumptions'!$G351)</f>
        <v>0</v>
      </c>
      <c r="AH49" s="21">
        <f>V49*(1+'2-Data Input &amp; Assumptions'!$G351)</f>
        <v>0</v>
      </c>
      <c r="AI49" s="21">
        <f>W49*(1+'2-Data Input &amp; Assumptions'!$G351)</f>
        <v>0</v>
      </c>
      <c r="AJ49" s="21">
        <f>X49*(1+'2-Data Input &amp; Assumptions'!$G351)</f>
        <v>0</v>
      </c>
      <c r="AK49" s="21">
        <f>Y49*(1+'2-Data Input &amp; Assumptions'!$G351)</f>
        <v>0</v>
      </c>
      <c r="AL49" s="21">
        <f>Z49*(1+'2-Data Input &amp; Assumptions'!$G351)</f>
        <v>0</v>
      </c>
      <c r="AM49" s="21">
        <f>AA49*(1+'2-Data Input &amp; Assumptions'!$G351)</f>
        <v>0</v>
      </c>
      <c r="AN49" s="21">
        <f>AB49*(1+'2-Data Input &amp; Assumptions'!$G351)</f>
        <v>0</v>
      </c>
    </row>
    <row r="50" spans="2:45" x14ac:dyDescent="0.3">
      <c r="B50" s="19"/>
      <c r="C50" s="12"/>
      <c r="D50" s="20" t="str">
        <f>'2-Data Input &amp; Assumptions'!A12</f>
        <v>FISCAL DISPARITIES</v>
      </c>
      <c r="E50" s="21">
        <f>'2-Data Input &amp; Assumptions'!C215/1000</f>
        <v>0</v>
      </c>
      <c r="F50" s="21">
        <f>'2-Data Input &amp; Assumptions'!D215/1000</f>
        <v>0</v>
      </c>
      <c r="G50" s="21">
        <f>'2-Data Input &amp; Assumptions'!E215/1000</f>
        <v>0</v>
      </c>
      <c r="H50" s="21">
        <f>'2-Data Input &amp; Assumptions'!F215/1000</f>
        <v>0</v>
      </c>
      <c r="I50" s="21">
        <f>'2-Data Input &amp; Assumptions'!G215/1000</f>
        <v>0</v>
      </c>
      <c r="J50" s="21">
        <f>'2-Data Input &amp; Assumptions'!H215/1000</f>
        <v>51321.4</v>
      </c>
      <c r="K50" s="21">
        <f>'2-Data Input &amp; Assumptions'!I215/1000</f>
        <v>0</v>
      </c>
      <c r="L50" s="21">
        <f>'2-Data Input &amp; Assumptions'!J215/1000</f>
        <v>0</v>
      </c>
      <c r="M50" s="21">
        <f>'2-Data Input &amp; Assumptions'!K215/1000</f>
        <v>0</v>
      </c>
      <c r="N50" s="21">
        <f>'2-Data Input &amp; Assumptions'!L215/1000</f>
        <v>0</v>
      </c>
      <c r="O50" s="21">
        <f>'2-Data Input &amp; Assumptions'!M215/1000</f>
        <v>51321.4</v>
      </c>
      <c r="P50" s="86">
        <f>'2-Data Input &amp; Assumptions'!N215/1000</f>
        <v>0</v>
      </c>
      <c r="Q50" s="21">
        <f>'2-Data Input &amp; Assumptions'!C284/1000</f>
        <v>0</v>
      </c>
      <c r="R50" s="21">
        <f>'2-Data Input &amp; Assumptions'!D284/1000</f>
        <v>0</v>
      </c>
      <c r="S50" s="21">
        <f>'2-Data Input &amp; Assumptions'!E284/1000</f>
        <v>0</v>
      </c>
      <c r="T50" s="21">
        <f>'2-Data Input &amp; Assumptions'!F284/1000</f>
        <v>0</v>
      </c>
      <c r="U50" s="21">
        <f>'2-Data Input &amp; Assumptions'!G284/1000</f>
        <v>0</v>
      </c>
      <c r="V50" s="21">
        <f>'2-Data Input &amp; Assumptions'!H284/1000</f>
        <v>50085.130100977891</v>
      </c>
      <c r="W50" s="21">
        <f>'2-Data Input &amp; Assumptions'!I284/1000</f>
        <v>1229.1525120708354</v>
      </c>
      <c r="X50" s="21">
        <f>'2-Data Input &amp; Assumptions'!J284/1000</f>
        <v>0</v>
      </c>
      <c r="Y50" s="21">
        <f>'2-Data Input &amp; Assumptions'!K284/1000</f>
        <v>0</v>
      </c>
      <c r="Z50" s="21">
        <f>'2-Data Input &amp; Assumptions'!L284/1000</f>
        <v>0</v>
      </c>
      <c r="AA50" s="21">
        <f>'2-Data Input &amp; Assumptions'!M284/1000</f>
        <v>51314.277386951275</v>
      </c>
      <c r="AB50" s="86">
        <f>'2-Data Input &amp; Assumptions'!N284/1000</f>
        <v>0</v>
      </c>
      <c r="AC50" s="21">
        <f>Q50*(1+'2-Data Input &amp; Assumptions'!$G352)</f>
        <v>0</v>
      </c>
      <c r="AD50" s="21">
        <f>R50*(1+'2-Data Input &amp; Assumptions'!$G352)</f>
        <v>0</v>
      </c>
      <c r="AE50" s="21">
        <f>S50*(1+'2-Data Input &amp; Assumptions'!$G352)</f>
        <v>0</v>
      </c>
      <c r="AF50" s="21">
        <f>T50*(1+'2-Data Input &amp; Assumptions'!$G352)</f>
        <v>0</v>
      </c>
      <c r="AG50" s="21">
        <f>U50*(1+'2-Data Input &amp; Assumptions'!$G352)</f>
        <v>0</v>
      </c>
      <c r="AH50" s="21">
        <f>V50*(1+'2-Data Input &amp; Assumptions'!$G352)</f>
        <v>50085.130100977891</v>
      </c>
      <c r="AI50" s="21">
        <f>W50*(1+'2-Data Input &amp; Assumptions'!$G352)</f>
        <v>1229.1525120708354</v>
      </c>
      <c r="AJ50" s="21">
        <f>X50*(1+'2-Data Input &amp; Assumptions'!$G352)</f>
        <v>0</v>
      </c>
      <c r="AK50" s="21">
        <f>Y50*(1+'2-Data Input &amp; Assumptions'!$G352)</f>
        <v>0</v>
      </c>
      <c r="AL50" s="21">
        <f>Z50*(1+'2-Data Input &amp; Assumptions'!$G352)</f>
        <v>0</v>
      </c>
      <c r="AM50" s="21">
        <f>AA50*(1+'2-Data Input &amp; Assumptions'!$G352)</f>
        <v>51314.277386951275</v>
      </c>
      <c r="AN50" s="21">
        <f>AB50*(1+'2-Data Input &amp; Assumptions'!$G352)</f>
        <v>0</v>
      </c>
    </row>
    <row r="51" spans="2:45" x14ac:dyDescent="0.3">
      <c r="B51" s="19"/>
      <c r="C51" s="12"/>
      <c r="D51" s="20" t="str">
        <f>'2-Data Input &amp; Assumptions'!A13</f>
        <v>BUSINESS LICENSE TAXES</v>
      </c>
      <c r="E51" s="21">
        <f>'2-Data Input &amp; Assumptions'!C216/1000</f>
        <v>0</v>
      </c>
      <c r="F51" s="21">
        <f>'2-Data Input &amp; Assumptions'!D216/1000</f>
        <v>0</v>
      </c>
      <c r="G51" s="21">
        <f>'2-Data Input &amp; Assumptions'!E216/1000</f>
        <v>0</v>
      </c>
      <c r="H51" s="21">
        <f>'2-Data Input &amp; Assumptions'!F216/1000</f>
        <v>0</v>
      </c>
      <c r="I51" s="21">
        <f>'2-Data Input &amp; Assumptions'!G216/1000</f>
        <v>0</v>
      </c>
      <c r="J51" s="21">
        <f>'2-Data Input &amp; Assumptions'!H216/1000</f>
        <v>0</v>
      </c>
      <c r="K51" s="21">
        <f>'2-Data Input &amp; Assumptions'!I216/1000</f>
        <v>0</v>
      </c>
      <c r="L51" s="21">
        <f>'2-Data Input &amp; Assumptions'!J216/1000</f>
        <v>0</v>
      </c>
      <c r="M51" s="21">
        <f>'2-Data Input &amp; Assumptions'!K216/1000</f>
        <v>0</v>
      </c>
      <c r="N51" s="21">
        <f>'2-Data Input &amp; Assumptions'!L216/1000</f>
        <v>0</v>
      </c>
      <c r="O51" s="21">
        <f>'2-Data Input &amp; Assumptions'!M216/1000</f>
        <v>0</v>
      </c>
      <c r="P51" s="86">
        <f>'2-Data Input &amp; Assumptions'!N216/1000</f>
        <v>0</v>
      </c>
      <c r="Q51" s="21">
        <f>'2-Data Input &amp; Assumptions'!C285/1000</f>
        <v>0</v>
      </c>
      <c r="R51" s="21">
        <f>'2-Data Input &amp; Assumptions'!D285/1000</f>
        <v>0</v>
      </c>
      <c r="S51" s="21">
        <f>'2-Data Input &amp; Assumptions'!E285/1000</f>
        <v>0</v>
      </c>
      <c r="T51" s="21">
        <f>'2-Data Input &amp; Assumptions'!F285/1000</f>
        <v>0</v>
      </c>
      <c r="U51" s="21">
        <f>'2-Data Input &amp; Assumptions'!G285/1000</f>
        <v>0</v>
      </c>
      <c r="V51" s="21">
        <f>'2-Data Input &amp; Assumptions'!H285/1000</f>
        <v>0</v>
      </c>
      <c r="W51" s="21">
        <f>'2-Data Input &amp; Assumptions'!I285/1000</f>
        <v>0</v>
      </c>
      <c r="X51" s="21">
        <f>'2-Data Input &amp; Assumptions'!J285/1000</f>
        <v>0</v>
      </c>
      <c r="Y51" s="21">
        <f>'2-Data Input &amp; Assumptions'!K285/1000</f>
        <v>0</v>
      </c>
      <c r="Z51" s="21">
        <f>'2-Data Input &amp; Assumptions'!L285/1000</f>
        <v>0</v>
      </c>
      <c r="AA51" s="21">
        <f>'2-Data Input &amp; Assumptions'!M285/1000</f>
        <v>0</v>
      </c>
      <c r="AB51" s="86">
        <f>'2-Data Input &amp; Assumptions'!N285/1000</f>
        <v>0</v>
      </c>
      <c r="AC51" s="21">
        <f>Q51*(1+'2-Data Input &amp; Assumptions'!$G353)</f>
        <v>0</v>
      </c>
      <c r="AD51" s="21">
        <f>R51*(1+'2-Data Input &amp; Assumptions'!$G353)</f>
        <v>0</v>
      </c>
      <c r="AE51" s="21">
        <f>S51*(1+'2-Data Input &amp; Assumptions'!$G353)</f>
        <v>0</v>
      </c>
      <c r="AF51" s="21">
        <f>T51*(1+'2-Data Input &amp; Assumptions'!$G353)</f>
        <v>0</v>
      </c>
      <c r="AG51" s="21">
        <f>U51*(1+'2-Data Input &amp; Assumptions'!$G353)</f>
        <v>0</v>
      </c>
      <c r="AH51" s="21">
        <f>V51*(1+'2-Data Input &amp; Assumptions'!$G353)</f>
        <v>0</v>
      </c>
      <c r="AI51" s="21">
        <f>W51*(1+'2-Data Input &amp; Assumptions'!$G353)</f>
        <v>0</v>
      </c>
      <c r="AJ51" s="21">
        <f>X51*(1+'2-Data Input &amp; Assumptions'!$G353)</f>
        <v>0</v>
      </c>
      <c r="AK51" s="21">
        <f>Y51*(1+'2-Data Input &amp; Assumptions'!$G353)</f>
        <v>0</v>
      </c>
      <c r="AL51" s="21">
        <f>Z51*(1+'2-Data Input &amp; Assumptions'!$G353)</f>
        <v>0</v>
      </c>
      <c r="AM51" s="21">
        <f>AA51*(1+'2-Data Input &amp; Assumptions'!$G353)</f>
        <v>0</v>
      </c>
      <c r="AN51" s="21">
        <f>AB51*(1+'2-Data Input &amp; Assumptions'!$G353)</f>
        <v>0</v>
      </c>
    </row>
    <row r="52" spans="2:45" x14ac:dyDescent="0.3">
      <c r="B52" s="19"/>
      <c r="C52" s="12"/>
      <c r="D52" s="20" t="str">
        <f>'2-Data Input &amp; Assumptions'!A14</f>
        <v>INTRAGOVT SVC CHARGES</v>
      </c>
      <c r="E52" s="21">
        <f>'2-Data Input &amp; Assumptions'!C217/1000</f>
        <v>0</v>
      </c>
      <c r="F52" s="21">
        <f>'2-Data Input &amp; Assumptions'!D217/1000</f>
        <v>0</v>
      </c>
      <c r="G52" s="21">
        <f>'2-Data Input &amp; Assumptions'!E217/1000</f>
        <v>0</v>
      </c>
      <c r="H52" s="21">
        <f>'2-Data Input &amp; Assumptions'!F217/1000</f>
        <v>0</v>
      </c>
      <c r="I52" s="21">
        <f>'2-Data Input &amp; Assumptions'!G217/1000</f>
        <v>0</v>
      </c>
      <c r="J52" s="21">
        <f>'2-Data Input &amp; Assumptions'!H217/1000</f>
        <v>0</v>
      </c>
      <c r="K52" s="21">
        <f>'2-Data Input &amp; Assumptions'!I217/1000</f>
        <v>0</v>
      </c>
      <c r="L52" s="21">
        <f>'2-Data Input &amp; Assumptions'!J217/1000</f>
        <v>0</v>
      </c>
      <c r="M52" s="21">
        <f>'2-Data Input &amp; Assumptions'!K217/1000</f>
        <v>0</v>
      </c>
      <c r="N52" s="21">
        <f>'2-Data Input &amp; Assumptions'!L217/1000</f>
        <v>0</v>
      </c>
      <c r="O52" s="21">
        <f>'2-Data Input &amp; Assumptions'!M217/1000</f>
        <v>0</v>
      </c>
      <c r="P52" s="86">
        <f>'2-Data Input &amp; Assumptions'!N217/1000</f>
        <v>0</v>
      </c>
      <c r="Q52" s="21">
        <f>'2-Data Input &amp; Assumptions'!C286/1000</f>
        <v>0</v>
      </c>
      <c r="R52" s="21">
        <f>'2-Data Input &amp; Assumptions'!D286/1000</f>
        <v>0</v>
      </c>
      <c r="S52" s="21">
        <f>'2-Data Input &amp; Assumptions'!E286/1000</f>
        <v>0</v>
      </c>
      <c r="T52" s="21">
        <f>'2-Data Input &amp; Assumptions'!F286/1000</f>
        <v>0</v>
      </c>
      <c r="U52" s="21">
        <f>'2-Data Input &amp; Assumptions'!G286/1000</f>
        <v>0</v>
      </c>
      <c r="V52" s="21">
        <f>'2-Data Input &amp; Assumptions'!H286/1000</f>
        <v>0</v>
      </c>
      <c r="W52" s="21">
        <f>'2-Data Input &amp; Assumptions'!I286/1000</f>
        <v>0</v>
      </c>
      <c r="X52" s="21">
        <f>'2-Data Input &amp; Assumptions'!J286/1000</f>
        <v>0</v>
      </c>
      <c r="Y52" s="21">
        <f>'2-Data Input &amp; Assumptions'!K286/1000</f>
        <v>0</v>
      </c>
      <c r="Z52" s="21">
        <f>'2-Data Input &amp; Assumptions'!L286/1000</f>
        <v>0</v>
      </c>
      <c r="AA52" s="21">
        <f>'2-Data Input &amp; Assumptions'!M286/1000</f>
        <v>0</v>
      </c>
      <c r="AB52" s="86">
        <f>'2-Data Input &amp; Assumptions'!N286/1000</f>
        <v>0</v>
      </c>
      <c r="AC52" s="21">
        <f>Q52*(1+'2-Data Input &amp; Assumptions'!$G354)</f>
        <v>0</v>
      </c>
      <c r="AD52" s="21">
        <f>R52*(1+'2-Data Input &amp; Assumptions'!$G354)</f>
        <v>0</v>
      </c>
      <c r="AE52" s="21">
        <f>S52*(1+'2-Data Input &amp; Assumptions'!$G354)</f>
        <v>0</v>
      </c>
      <c r="AF52" s="21">
        <f>T52*(1+'2-Data Input &amp; Assumptions'!$G354)</f>
        <v>0</v>
      </c>
      <c r="AG52" s="21">
        <f>U52*(1+'2-Data Input &amp; Assumptions'!$G354)</f>
        <v>0</v>
      </c>
      <c r="AH52" s="21">
        <f>V52*(1+'2-Data Input &amp; Assumptions'!$G354)</f>
        <v>0</v>
      </c>
      <c r="AI52" s="21">
        <f>W52*(1+'2-Data Input &amp; Assumptions'!$G354)</f>
        <v>0</v>
      </c>
      <c r="AJ52" s="21">
        <f>X52*(1+'2-Data Input &amp; Assumptions'!$G354)</f>
        <v>0</v>
      </c>
      <c r="AK52" s="21">
        <f>Y52*(1+'2-Data Input &amp; Assumptions'!$G354)</f>
        <v>0</v>
      </c>
      <c r="AL52" s="21">
        <f>Z52*(1+'2-Data Input &amp; Assumptions'!$G354)</f>
        <v>0</v>
      </c>
      <c r="AM52" s="21">
        <f>AA52*(1+'2-Data Input &amp; Assumptions'!$G354)</f>
        <v>0</v>
      </c>
      <c r="AN52" s="21">
        <f>AB52*(1+'2-Data Input &amp; Assumptions'!$G354)</f>
        <v>0</v>
      </c>
    </row>
    <row r="53" spans="2:45" x14ac:dyDescent="0.3">
      <c r="B53" s="19"/>
      <c r="C53" s="12"/>
      <c r="D53" s="20" t="str">
        <f>'2-Data Input &amp; Assumptions'!A15</f>
        <v>INTERGOVT REVENUES</v>
      </c>
      <c r="E53" s="21">
        <f>'2-Data Input &amp; Assumptions'!C218/1000</f>
        <v>13130.656999999999</v>
      </c>
      <c r="F53" s="21">
        <f>'2-Data Input &amp; Assumptions'!D218/1000</f>
        <v>28198.346000000001</v>
      </c>
      <c r="G53" s="21">
        <f>'2-Data Input &amp; Assumptions'!E218/1000</f>
        <v>15790.165000000001</v>
      </c>
      <c r="H53" s="21">
        <f>'2-Data Input &amp; Assumptions'!F218/1000</f>
        <v>12725.7</v>
      </c>
      <c r="I53" s="21">
        <f>'2-Data Input &amp; Assumptions'!G218/1000</f>
        <v>21468.799999999999</v>
      </c>
      <c r="J53" s="21">
        <f>'2-Data Input &amp; Assumptions'!H218/1000</f>
        <v>27988.799999999999</v>
      </c>
      <c r="K53" s="21">
        <f>'2-Data Input &amp; Assumptions'!I218/1000</f>
        <v>28073.9</v>
      </c>
      <c r="L53" s="21">
        <f>'2-Data Input &amp; Assumptions'!J218/1000</f>
        <v>23292.799999999999</v>
      </c>
      <c r="M53" s="21">
        <f>'2-Data Input &amp; Assumptions'!K218/1000</f>
        <v>15632</v>
      </c>
      <c r="N53" s="21">
        <f>'2-Data Input &amp; Assumptions'!L218/1000</f>
        <v>15078.9</v>
      </c>
      <c r="O53" s="21">
        <f>'2-Data Input &amp; Assumptions'!M218/1000</f>
        <v>18643.599999999999</v>
      </c>
      <c r="P53" s="86">
        <f>'2-Data Input &amp; Assumptions'!N218/1000</f>
        <v>22359.5</v>
      </c>
      <c r="Q53" s="21">
        <f>'2-Data Input &amp; Assumptions'!C287/1000</f>
        <v>16202.519992253861</v>
      </c>
      <c r="R53" s="21">
        <f>'2-Data Input &amp; Assumptions'!D287/1000</f>
        <v>26544.892609666756</v>
      </c>
      <c r="S53" s="21">
        <f>'2-Data Input &amp; Assumptions'!E287/1000</f>
        <v>18824.444354062627</v>
      </c>
      <c r="T53" s="21">
        <f>'2-Data Input &amp; Assumptions'!F287/1000</f>
        <v>15022.129419332261</v>
      </c>
      <c r="U53" s="21">
        <f>'2-Data Input &amp; Assumptions'!G287/1000</f>
        <v>23639.416756006878</v>
      </c>
      <c r="V53" s="21">
        <f>'2-Data Input &amp; Assumptions'!H287/1000</f>
        <v>20721.129159123841</v>
      </c>
      <c r="W53" s="21">
        <f>'2-Data Input &amp; Assumptions'!I287/1000</f>
        <v>30707.811937208819</v>
      </c>
      <c r="X53" s="21">
        <f>'2-Data Input &amp; Assumptions'!J287/1000</f>
        <v>23015.768756740636</v>
      </c>
      <c r="Y53" s="21">
        <f>'2-Data Input &amp; Assumptions'!K287/1000</f>
        <v>14730.889537784602</v>
      </c>
      <c r="Z53" s="21">
        <f>'2-Data Input &amp; Assumptions'!L287/1000</f>
        <v>15714.115501929127</v>
      </c>
      <c r="AA53" s="21">
        <f>'2-Data Input &amp; Assumptions'!M287/1000</f>
        <v>21359.791638698935</v>
      </c>
      <c r="AB53" s="86">
        <f>'2-Data Input &amp; Assumptions'!N287/1000</f>
        <v>22100.290137191652</v>
      </c>
      <c r="AC53" s="21">
        <f>Q53*(1+'2-Data Input &amp; Assumptions'!$G355)</f>
        <v>16364.5451921764</v>
      </c>
      <c r="AD53" s="21">
        <f>R53*(1+'2-Data Input &amp; Assumptions'!$G355)</f>
        <v>26810.341535763426</v>
      </c>
      <c r="AE53" s="21">
        <f>S53*(1+'2-Data Input &amp; Assumptions'!$G355)</f>
        <v>19012.688797603252</v>
      </c>
      <c r="AF53" s="21">
        <f>T53*(1+'2-Data Input &amp; Assumptions'!$G355)</f>
        <v>15172.350713525584</v>
      </c>
      <c r="AG53" s="21">
        <f>U53*(1+'2-Data Input &amp; Assumptions'!$G355)</f>
        <v>23875.810923566947</v>
      </c>
      <c r="AH53" s="21">
        <f>V53*(1+'2-Data Input &amp; Assumptions'!$G355)</f>
        <v>20928.340450715081</v>
      </c>
      <c r="AI53" s="21">
        <f>W53*(1+'2-Data Input &amp; Assumptions'!$G355)</f>
        <v>31014.890056580905</v>
      </c>
      <c r="AJ53" s="21">
        <f>X53*(1+'2-Data Input &amp; Assumptions'!$G355)</f>
        <v>23245.926444308043</v>
      </c>
      <c r="AK53" s="21">
        <f>Y53*(1+'2-Data Input &amp; Assumptions'!$G355)</f>
        <v>14878.198433162448</v>
      </c>
      <c r="AL53" s="21">
        <f>Z53*(1+'2-Data Input &amp; Assumptions'!$G355)</f>
        <v>15871.256656948419</v>
      </c>
      <c r="AM53" s="21">
        <f>AA53*(1+'2-Data Input &amp; Assumptions'!$G355)</f>
        <v>21573.389555085923</v>
      </c>
      <c r="AN53" s="21">
        <f>AB53*(1+'2-Data Input &amp; Assumptions'!$G355)</f>
        <v>22321.29303856357</v>
      </c>
    </row>
    <row r="54" spans="2:45" x14ac:dyDescent="0.3">
      <c r="B54" s="19"/>
      <c r="C54" s="12"/>
      <c r="D54" s="20" t="str">
        <f>'2-Data Input &amp; Assumptions'!A16</f>
        <v>REIMBURSEMENTS</v>
      </c>
      <c r="E54" s="21">
        <f>'2-Data Input &amp; Assumptions'!C219/1000</f>
        <v>0</v>
      </c>
      <c r="F54" s="21">
        <f>'2-Data Input &amp; Assumptions'!D219/1000</f>
        <v>0</v>
      </c>
      <c r="G54" s="21">
        <f>'2-Data Input &amp; Assumptions'!E219/1000</f>
        <v>0</v>
      </c>
      <c r="H54" s="21">
        <f>'2-Data Input &amp; Assumptions'!F219/1000</f>
        <v>0</v>
      </c>
      <c r="I54" s="21">
        <f>'2-Data Input &amp; Assumptions'!G219/1000</f>
        <v>0</v>
      </c>
      <c r="J54" s="21">
        <f>'2-Data Input &amp; Assumptions'!H219/1000</f>
        <v>0</v>
      </c>
      <c r="K54" s="21">
        <f>'2-Data Input &amp; Assumptions'!I219/1000</f>
        <v>0</v>
      </c>
      <c r="L54" s="21">
        <f>'2-Data Input &amp; Assumptions'!J219/1000</f>
        <v>0</v>
      </c>
      <c r="M54" s="21">
        <f>'2-Data Input &amp; Assumptions'!K219/1000</f>
        <v>0</v>
      </c>
      <c r="N54" s="21">
        <f>'2-Data Input &amp; Assumptions'!L219/1000</f>
        <v>0</v>
      </c>
      <c r="O54" s="21">
        <f>'2-Data Input &amp; Assumptions'!M219/1000</f>
        <v>0</v>
      </c>
      <c r="P54" s="86">
        <f>'2-Data Input &amp; Assumptions'!N219/1000</f>
        <v>0</v>
      </c>
      <c r="Q54" s="21">
        <f>'2-Data Input &amp; Assumptions'!C288/1000</f>
        <v>0</v>
      </c>
      <c r="R54" s="21">
        <f>'2-Data Input &amp; Assumptions'!D288/1000</f>
        <v>0</v>
      </c>
      <c r="S54" s="21">
        <f>'2-Data Input &amp; Assumptions'!E288/1000</f>
        <v>0</v>
      </c>
      <c r="T54" s="21">
        <f>'2-Data Input &amp; Assumptions'!F288/1000</f>
        <v>0</v>
      </c>
      <c r="U54" s="21">
        <f>'2-Data Input &amp; Assumptions'!G288/1000</f>
        <v>0</v>
      </c>
      <c r="V54" s="21">
        <f>'2-Data Input &amp; Assumptions'!H288/1000</f>
        <v>0</v>
      </c>
      <c r="W54" s="21">
        <f>'2-Data Input &amp; Assumptions'!I288/1000</f>
        <v>0</v>
      </c>
      <c r="X54" s="21">
        <f>'2-Data Input &amp; Assumptions'!J288/1000</f>
        <v>0</v>
      </c>
      <c r="Y54" s="21">
        <f>'2-Data Input &amp; Assumptions'!K288/1000</f>
        <v>0</v>
      </c>
      <c r="Z54" s="21">
        <f>'2-Data Input &amp; Assumptions'!L288/1000</f>
        <v>0</v>
      </c>
      <c r="AA54" s="21">
        <f>'2-Data Input &amp; Assumptions'!M288/1000</f>
        <v>0</v>
      </c>
      <c r="AB54" s="86">
        <f>'2-Data Input &amp; Assumptions'!N288/1000</f>
        <v>0</v>
      </c>
      <c r="AC54" s="21">
        <f>Q54*(1+'2-Data Input &amp; Assumptions'!$G356)</f>
        <v>0</v>
      </c>
      <c r="AD54" s="21">
        <f>R54*(1+'2-Data Input &amp; Assumptions'!$G356)</f>
        <v>0</v>
      </c>
      <c r="AE54" s="21">
        <f>S54*(1+'2-Data Input &amp; Assumptions'!$G356)</f>
        <v>0</v>
      </c>
      <c r="AF54" s="21">
        <f>T54*(1+'2-Data Input &amp; Assumptions'!$G356)</f>
        <v>0</v>
      </c>
      <c r="AG54" s="21">
        <f>U54*(1+'2-Data Input &amp; Assumptions'!$G356)</f>
        <v>0</v>
      </c>
      <c r="AH54" s="21">
        <f>V54*(1+'2-Data Input &amp; Assumptions'!$G356)</f>
        <v>0</v>
      </c>
      <c r="AI54" s="21">
        <f>W54*(1+'2-Data Input &amp; Assumptions'!$G356)</f>
        <v>0</v>
      </c>
      <c r="AJ54" s="21">
        <f>X54*(1+'2-Data Input &amp; Assumptions'!$G356)</f>
        <v>0</v>
      </c>
      <c r="AK54" s="21">
        <f>Y54*(1+'2-Data Input &amp; Assumptions'!$G356)</f>
        <v>0</v>
      </c>
      <c r="AL54" s="21">
        <f>Z54*(1+'2-Data Input &amp; Assumptions'!$G356)</f>
        <v>0</v>
      </c>
      <c r="AM54" s="21">
        <f>AA54*(1+'2-Data Input &amp; Assumptions'!$G356)</f>
        <v>0</v>
      </c>
      <c r="AN54" s="21">
        <f>AB54*(1+'2-Data Input &amp; Assumptions'!$G356)</f>
        <v>0</v>
      </c>
    </row>
    <row r="55" spans="2:45" x14ac:dyDescent="0.3">
      <c r="B55" s="19"/>
      <c r="C55" s="12"/>
      <c r="D55" s="20" t="str">
        <f>'2-Data Input &amp; Assumptions'!A17</f>
        <v>DONATIONS/CONTRIBS/ INV INCOME</v>
      </c>
      <c r="E55" s="21">
        <f>'2-Data Input &amp; Assumptions'!C220/1000</f>
        <v>715.18299999999999</v>
      </c>
      <c r="F55" s="21">
        <f>'2-Data Input &amp; Assumptions'!D220/1000</f>
        <v>1226.8340000000001</v>
      </c>
      <c r="G55" s="21">
        <f>'2-Data Input &amp; Assumptions'!E220/1000</f>
        <v>355.79300000000001</v>
      </c>
      <c r="H55" s="21">
        <f>'2-Data Input &amp; Assumptions'!F220/1000</f>
        <v>250.917</v>
      </c>
      <c r="I55" s="21">
        <f>'2-Data Input &amp; Assumptions'!G220/1000</f>
        <v>264.41800000000001</v>
      </c>
      <c r="J55" s="21">
        <f>'2-Data Input &amp; Assumptions'!H220/1000</f>
        <v>377.58800000000002</v>
      </c>
      <c r="K55" s="21">
        <f>'2-Data Input &amp; Assumptions'!I220/1000</f>
        <v>306.589</v>
      </c>
      <c r="L55" s="21">
        <f>'2-Data Input &amp; Assumptions'!J220/1000</f>
        <v>843.20500000000004</v>
      </c>
      <c r="M55" s="21">
        <f>'2-Data Input &amp; Assumptions'!K220/1000</f>
        <v>515.64200000000005</v>
      </c>
      <c r="N55" s="21">
        <f>'2-Data Input &amp; Assumptions'!L220/1000</f>
        <v>226.78700000000001</v>
      </c>
      <c r="O55" s="21">
        <f>'2-Data Input &amp; Assumptions'!M220/1000</f>
        <v>240.02799999999999</v>
      </c>
      <c r="P55" s="86">
        <f>'2-Data Input &amp; Assumptions'!N220/1000</f>
        <v>351.17899999999997</v>
      </c>
      <c r="Q55" s="21">
        <f>'2-Data Input &amp; Assumptions'!C289/1000</f>
        <v>310.12700000000001</v>
      </c>
      <c r="R55" s="21">
        <f>'2-Data Input &amp; Assumptions'!D289/1000</f>
        <v>907.60799999999995</v>
      </c>
      <c r="S55" s="21">
        <f>'2-Data Input &amp; Assumptions'!E289/1000</f>
        <v>306.42200000000003</v>
      </c>
      <c r="T55" s="21">
        <f>'2-Data Input &amp; Assumptions'!F289/1000</f>
        <v>235.58</v>
      </c>
      <c r="U55" s="21">
        <f>'2-Data Input &amp; Assumptions'!G289/1000</f>
        <v>271.34100000000001</v>
      </c>
      <c r="V55" s="21">
        <f>'2-Data Input &amp; Assumptions'!H289/1000</f>
        <v>320.28399999999999</v>
      </c>
      <c r="W55" s="21">
        <f>'2-Data Input &amp; Assumptions'!I289/1000</f>
        <v>233.79900000000001</v>
      </c>
      <c r="X55" s="21">
        <f>'2-Data Input &amp; Assumptions'!J289/1000</f>
        <v>738.03899999999999</v>
      </c>
      <c r="Y55" s="21">
        <f>'2-Data Input &amp; Assumptions'!K289/1000</f>
        <v>267.04500000000002</v>
      </c>
      <c r="Z55" s="21">
        <f>'2-Data Input &amp; Assumptions'!L289/1000</f>
        <v>233.85300000000001</v>
      </c>
      <c r="AA55" s="21">
        <f>'2-Data Input &amp; Assumptions'!M289/1000</f>
        <v>268.48200000000003</v>
      </c>
      <c r="AB55" s="86">
        <f>'2-Data Input &amp; Assumptions'!N289/1000</f>
        <v>284.38499999999999</v>
      </c>
      <c r="AC55" s="21">
        <f>Q55*(1+'2-Data Input &amp; Assumptions'!$G357)</f>
        <v>263.60795000000002</v>
      </c>
      <c r="AD55" s="21">
        <f>R55*(1+'2-Data Input &amp; Assumptions'!$G357)</f>
        <v>771.46679999999992</v>
      </c>
      <c r="AE55" s="21">
        <f>S55*(1+'2-Data Input &amp; Assumptions'!$G357)</f>
        <v>260.45870000000002</v>
      </c>
      <c r="AF55" s="21">
        <f>T55*(1+'2-Data Input &amp; Assumptions'!$G357)</f>
        <v>200.24299999999999</v>
      </c>
      <c r="AG55" s="21">
        <f>U55*(1+'2-Data Input &amp; Assumptions'!$G357)</f>
        <v>230.63985</v>
      </c>
      <c r="AH55" s="21">
        <f>V55*(1+'2-Data Input &amp; Assumptions'!$G357)</f>
        <v>272.2414</v>
      </c>
      <c r="AI55" s="21">
        <f>W55*(1+'2-Data Input &amp; Assumptions'!$G357)</f>
        <v>198.72915</v>
      </c>
      <c r="AJ55" s="21">
        <f>X55*(1+'2-Data Input &amp; Assumptions'!$G357)</f>
        <v>627.33314999999993</v>
      </c>
      <c r="AK55" s="21">
        <f>Y55*(1+'2-Data Input &amp; Assumptions'!$G357)</f>
        <v>226.98824999999999</v>
      </c>
      <c r="AL55" s="21">
        <f>Z55*(1+'2-Data Input &amp; Assumptions'!$G357)</f>
        <v>198.77504999999999</v>
      </c>
      <c r="AM55" s="21">
        <f>AA55*(1+'2-Data Input &amp; Assumptions'!$G357)</f>
        <v>228.20970000000003</v>
      </c>
      <c r="AN55" s="21">
        <f>AB55*(1+'2-Data Input &amp; Assumptions'!$G357)</f>
        <v>241.72725</v>
      </c>
      <c r="AQ55" s="8"/>
      <c r="AR55" s="8"/>
      <c r="AS55" s="8"/>
    </row>
    <row r="56" spans="2:45" x14ac:dyDescent="0.3">
      <c r="B56" s="19"/>
      <c r="C56" s="12"/>
      <c r="D56" s="20" t="str">
        <f>'2-Data Input &amp; Assumptions'!A18</f>
        <v>FINES &amp; FORFEITURES</v>
      </c>
      <c r="E56" s="21">
        <f>'2-Data Input &amp; Assumptions'!C221/1000</f>
        <v>0</v>
      </c>
      <c r="F56" s="21">
        <f>'2-Data Input &amp; Assumptions'!D221/1000</f>
        <v>0</v>
      </c>
      <c r="G56" s="21">
        <f>'2-Data Input &amp; Assumptions'!E221/1000</f>
        <v>0</v>
      </c>
      <c r="H56" s="21">
        <f>'2-Data Input &amp; Assumptions'!F221/1000</f>
        <v>0</v>
      </c>
      <c r="I56" s="21">
        <f>'2-Data Input &amp; Assumptions'!G221/1000</f>
        <v>0</v>
      </c>
      <c r="J56" s="21">
        <f>'2-Data Input &amp; Assumptions'!H221/1000</f>
        <v>0</v>
      </c>
      <c r="K56" s="21">
        <f>'2-Data Input &amp; Assumptions'!I221/1000</f>
        <v>0</v>
      </c>
      <c r="L56" s="21">
        <f>'2-Data Input &amp; Assumptions'!J221/1000</f>
        <v>0</v>
      </c>
      <c r="M56" s="21">
        <f>'2-Data Input &amp; Assumptions'!K221/1000</f>
        <v>0</v>
      </c>
      <c r="N56" s="21">
        <f>'2-Data Input &amp; Assumptions'!L221/1000</f>
        <v>0</v>
      </c>
      <c r="O56" s="21">
        <f>'2-Data Input &amp; Assumptions'!M221/1000</f>
        <v>0</v>
      </c>
      <c r="P56" s="86">
        <f>'2-Data Input &amp; Assumptions'!N221/1000</f>
        <v>0</v>
      </c>
      <c r="Q56" s="21">
        <f>'2-Data Input &amp; Assumptions'!C290/1000</f>
        <v>0</v>
      </c>
      <c r="R56" s="21">
        <f>'2-Data Input &amp; Assumptions'!D290/1000</f>
        <v>0</v>
      </c>
      <c r="S56" s="21">
        <f>'2-Data Input &amp; Assumptions'!E290/1000</f>
        <v>0</v>
      </c>
      <c r="T56" s="21">
        <f>'2-Data Input &amp; Assumptions'!F290/1000</f>
        <v>0</v>
      </c>
      <c r="U56" s="21">
        <f>'2-Data Input &amp; Assumptions'!G290/1000</f>
        <v>0</v>
      </c>
      <c r="V56" s="21">
        <f>'2-Data Input &amp; Assumptions'!H290/1000</f>
        <v>0</v>
      </c>
      <c r="W56" s="21">
        <f>'2-Data Input &amp; Assumptions'!I290/1000</f>
        <v>0</v>
      </c>
      <c r="X56" s="21">
        <f>'2-Data Input &amp; Assumptions'!J290/1000</f>
        <v>0</v>
      </c>
      <c r="Y56" s="21">
        <f>'2-Data Input &amp; Assumptions'!K290/1000</f>
        <v>0</v>
      </c>
      <c r="Z56" s="21">
        <f>'2-Data Input &amp; Assumptions'!L290/1000</f>
        <v>0</v>
      </c>
      <c r="AA56" s="21">
        <f>'2-Data Input &amp; Assumptions'!M290/1000</f>
        <v>0</v>
      </c>
      <c r="AB56" s="86">
        <f>'2-Data Input &amp; Assumptions'!N290/1000</f>
        <v>0</v>
      </c>
      <c r="AC56" s="21">
        <f>Q56*(1+'2-Data Input &amp; Assumptions'!$G358)</f>
        <v>0</v>
      </c>
      <c r="AD56" s="21">
        <f>R56*(1+'2-Data Input &amp; Assumptions'!$G358)</f>
        <v>0</v>
      </c>
      <c r="AE56" s="21">
        <f>S56*(1+'2-Data Input &amp; Assumptions'!$G358)</f>
        <v>0</v>
      </c>
      <c r="AF56" s="21">
        <f>T56*(1+'2-Data Input &amp; Assumptions'!$G358)</f>
        <v>0</v>
      </c>
      <c r="AG56" s="21">
        <f>U56*(1+'2-Data Input &amp; Assumptions'!$G358)</f>
        <v>0</v>
      </c>
      <c r="AH56" s="21">
        <f>V56*(1+'2-Data Input &amp; Assumptions'!$G358)</f>
        <v>0</v>
      </c>
      <c r="AI56" s="21">
        <f>W56*(1+'2-Data Input &amp; Assumptions'!$G358)</f>
        <v>0</v>
      </c>
      <c r="AJ56" s="21">
        <f>X56*(1+'2-Data Input &amp; Assumptions'!$G358)</f>
        <v>0</v>
      </c>
      <c r="AK56" s="21">
        <f>Y56*(1+'2-Data Input &amp; Assumptions'!$G358)</f>
        <v>0</v>
      </c>
      <c r="AL56" s="21">
        <f>Z56*(1+'2-Data Input &amp; Assumptions'!$G358)</f>
        <v>0</v>
      </c>
      <c r="AM56" s="21">
        <f>AA56*(1+'2-Data Input &amp; Assumptions'!$G358)</f>
        <v>0</v>
      </c>
      <c r="AN56" s="21">
        <f>AB56*(1+'2-Data Input &amp; Assumptions'!$G358)</f>
        <v>0</v>
      </c>
      <c r="AQ56" s="8"/>
      <c r="AR56" s="8"/>
      <c r="AS56" s="8"/>
    </row>
    <row r="57" spans="2:45" x14ac:dyDescent="0.3">
      <c r="B57" s="19"/>
      <c r="C57" s="12"/>
      <c r="D57" s="20" t="str">
        <f>'2-Data Input &amp; Assumptions'!A19</f>
        <v>USE OF MONEY &amp; PROPERTY</v>
      </c>
      <c r="E57" s="21">
        <f>'2-Data Input &amp; Assumptions'!C222/1000</f>
        <v>0</v>
      </c>
      <c r="F57" s="21">
        <f>'2-Data Input &amp; Assumptions'!D222/1000</f>
        <v>0</v>
      </c>
      <c r="G57" s="21">
        <f>'2-Data Input &amp; Assumptions'!E222/1000</f>
        <v>0</v>
      </c>
      <c r="H57" s="21">
        <f>'2-Data Input &amp; Assumptions'!F222/1000</f>
        <v>0</v>
      </c>
      <c r="I57" s="21">
        <f>'2-Data Input &amp; Assumptions'!G222/1000</f>
        <v>0</v>
      </c>
      <c r="J57" s="21">
        <f>'2-Data Input &amp; Assumptions'!H222/1000</f>
        <v>0</v>
      </c>
      <c r="K57" s="21">
        <f>'2-Data Input &amp; Assumptions'!I222/1000</f>
        <v>0</v>
      </c>
      <c r="L57" s="21">
        <f>'2-Data Input &amp; Assumptions'!J222/1000</f>
        <v>0</v>
      </c>
      <c r="M57" s="21">
        <f>'2-Data Input &amp; Assumptions'!K222/1000</f>
        <v>0</v>
      </c>
      <c r="N57" s="21">
        <f>'2-Data Input &amp; Assumptions'!L222/1000</f>
        <v>0</v>
      </c>
      <c r="O57" s="21">
        <f>'2-Data Input &amp; Assumptions'!M222/1000</f>
        <v>0</v>
      </c>
      <c r="P57" s="86">
        <f>'2-Data Input &amp; Assumptions'!N222/1000</f>
        <v>0</v>
      </c>
      <c r="Q57" s="21">
        <f>'2-Data Input &amp; Assumptions'!C291/1000</f>
        <v>0</v>
      </c>
      <c r="R57" s="21">
        <f>'2-Data Input &amp; Assumptions'!D291/1000</f>
        <v>0</v>
      </c>
      <c r="S57" s="21">
        <f>'2-Data Input &amp; Assumptions'!E291/1000</f>
        <v>0</v>
      </c>
      <c r="T57" s="21">
        <f>'2-Data Input &amp; Assumptions'!F291/1000</f>
        <v>0</v>
      </c>
      <c r="U57" s="21">
        <f>'2-Data Input &amp; Assumptions'!G291/1000</f>
        <v>0</v>
      </c>
      <c r="V57" s="21">
        <f>'2-Data Input &amp; Assumptions'!H291/1000</f>
        <v>0</v>
      </c>
      <c r="W57" s="21">
        <f>'2-Data Input &amp; Assumptions'!I291/1000</f>
        <v>0</v>
      </c>
      <c r="X57" s="21">
        <f>'2-Data Input &amp; Assumptions'!J291/1000</f>
        <v>0</v>
      </c>
      <c r="Y57" s="21">
        <f>'2-Data Input &amp; Assumptions'!K291/1000</f>
        <v>0</v>
      </c>
      <c r="Z57" s="21">
        <f>'2-Data Input &amp; Assumptions'!L291/1000</f>
        <v>0</v>
      </c>
      <c r="AA57" s="21">
        <f>'2-Data Input &amp; Assumptions'!M291/1000</f>
        <v>0</v>
      </c>
      <c r="AB57" s="86">
        <f>'2-Data Input &amp; Assumptions'!N291/1000</f>
        <v>0</v>
      </c>
      <c r="AC57" s="21">
        <f>Q57*(1+'2-Data Input &amp; Assumptions'!$G359)</f>
        <v>0</v>
      </c>
      <c r="AD57" s="21">
        <f>R57*(1+'2-Data Input &amp; Assumptions'!$G359)</f>
        <v>0</v>
      </c>
      <c r="AE57" s="21">
        <f>S57*(1+'2-Data Input &amp; Assumptions'!$G359)</f>
        <v>0</v>
      </c>
      <c r="AF57" s="21">
        <f>T57*(1+'2-Data Input &amp; Assumptions'!$G359)</f>
        <v>0</v>
      </c>
      <c r="AG57" s="21">
        <f>U57*(1+'2-Data Input &amp; Assumptions'!$G359)</f>
        <v>0</v>
      </c>
      <c r="AH57" s="21">
        <f>V57*(1+'2-Data Input &amp; Assumptions'!$G359)</f>
        <v>0</v>
      </c>
      <c r="AI57" s="21">
        <f>W57*(1+'2-Data Input &amp; Assumptions'!$G359)</f>
        <v>0</v>
      </c>
      <c r="AJ57" s="21">
        <f>X57*(1+'2-Data Input &amp; Assumptions'!$G359)</f>
        <v>0</v>
      </c>
      <c r="AK57" s="21">
        <f>Y57*(1+'2-Data Input &amp; Assumptions'!$G359)</f>
        <v>0</v>
      </c>
      <c r="AL57" s="21">
        <f>Z57*(1+'2-Data Input &amp; Assumptions'!$G359)</f>
        <v>0</v>
      </c>
      <c r="AM57" s="21">
        <f>AA57*(1+'2-Data Input &amp; Assumptions'!$G359)</f>
        <v>0</v>
      </c>
      <c r="AN57" s="21">
        <f>AB57*(1+'2-Data Input &amp; Assumptions'!$G359)</f>
        <v>0</v>
      </c>
      <c r="AQ57" s="8"/>
      <c r="AR57" s="8"/>
      <c r="AS57" s="8"/>
    </row>
    <row r="58" spans="2:45" x14ac:dyDescent="0.3">
      <c r="B58" s="19"/>
      <c r="C58" s="12"/>
      <c r="D58" s="20" t="str">
        <f>'2-Data Input &amp; Assumptions'!A20</f>
        <v>OTHER SOURCES / INV MATURITIES</v>
      </c>
      <c r="E58" s="21">
        <f>'2-Data Input &amp; Assumptions'!C223/1000</f>
        <v>16872</v>
      </c>
      <c r="F58" s="21">
        <f>'2-Data Input &amp; Assumptions'!D223/1000</f>
        <v>11085</v>
      </c>
      <c r="G58" s="21">
        <f>'2-Data Input &amp; Assumptions'!E223/1000</f>
        <v>6371</v>
      </c>
      <c r="H58" s="21">
        <f>'2-Data Input &amp; Assumptions'!F223/1000</f>
        <v>1945</v>
      </c>
      <c r="I58" s="21">
        <f>'2-Data Input &amp; Assumptions'!G223/1000</f>
        <v>3000</v>
      </c>
      <c r="J58" s="21">
        <f>'2-Data Input &amp; Assumptions'!H223/1000</f>
        <v>2000</v>
      </c>
      <c r="K58" s="21">
        <f>'2-Data Input &amp; Assumptions'!I223/1000</f>
        <v>1244</v>
      </c>
      <c r="L58" s="21">
        <f>'2-Data Input &amp; Assumptions'!J223/1000</f>
        <v>2470</v>
      </c>
      <c r="M58" s="21">
        <f>'2-Data Input &amp; Assumptions'!K223/1000</f>
        <v>6166.8909999999996</v>
      </c>
      <c r="N58" s="21">
        <f>'2-Data Input &amp; Assumptions'!L223/1000</f>
        <v>5000</v>
      </c>
      <c r="O58" s="21">
        <f>'2-Data Input &amp; Assumptions'!M223/1000</f>
        <v>450</v>
      </c>
      <c r="P58" s="86">
        <f>'2-Data Input &amp; Assumptions'!N223/1000</f>
        <v>1595</v>
      </c>
      <c r="Q58" s="21">
        <f>'2-Data Input &amp; Assumptions'!C292/1000</f>
        <v>8447</v>
      </c>
      <c r="R58" s="21">
        <f>'2-Data Input &amp; Assumptions'!D292/1000</f>
        <v>12355</v>
      </c>
      <c r="S58" s="21">
        <f>'2-Data Input &amp; Assumptions'!E292/1000</f>
        <v>11245</v>
      </c>
      <c r="T58" s="21">
        <f>'2-Data Input &amp; Assumptions'!F292/1000</f>
        <v>0</v>
      </c>
      <c r="U58" s="21">
        <f>'2-Data Input &amp; Assumptions'!G292/1000</f>
        <v>0</v>
      </c>
      <c r="V58" s="21">
        <f>'2-Data Input &amp; Assumptions'!H292/1000</f>
        <v>2000</v>
      </c>
      <c r="W58" s="21">
        <f>'2-Data Input &amp; Assumptions'!I292/1000</f>
        <v>2475</v>
      </c>
      <c r="X58" s="21">
        <f>'2-Data Input &amp; Assumptions'!J292/1000</f>
        <v>965</v>
      </c>
      <c r="Y58" s="21">
        <f>'2-Data Input &amp; Assumptions'!K292/1000</f>
        <v>0</v>
      </c>
      <c r="Z58" s="21">
        <f>'2-Data Input &amp; Assumptions'!L292/1000</f>
        <v>0</v>
      </c>
      <c r="AA58" s="21">
        <f>'2-Data Input &amp; Assumptions'!M292/1000</f>
        <v>6000</v>
      </c>
      <c r="AB58" s="86">
        <f>'2-Data Input &amp; Assumptions'!N292/1000</f>
        <v>450</v>
      </c>
      <c r="AC58" s="21">
        <f>Q58*(1+'2-Data Input &amp; Assumptions'!$G360)</f>
        <v>8447</v>
      </c>
      <c r="AD58" s="21">
        <f>R58*(1+'2-Data Input &amp; Assumptions'!$G360)</f>
        <v>12355</v>
      </c>
      <c r="AE58" s="21">
        <f>S58*(1+'2-Data Input &amp; Assumptions'!$G360)</f>
        <v>11245</v>
      </c>
      <c r="AF58" s="21">
        <f>T58*(1+'2-Data Input &amp; Assumptions'!$G360)</f>
        <v>0</v>
      </c>
      <c r="AG58" s="21">
        <f>U58*(1+'2-Data Input &amp; Assumptions'!$G360)</f>
        <v>0</v>
      </c>
      <c r="AH58" s="21">
        <f>V58*(1+'2-Data Input &amp; Assumptions'!$G360)</f>
        <v>2000</v>
      </c>
      <c r="AI58" s="21">
        <f>W58*(1+'2-Data Input &amp; Assumptions'!$G360)</f>
        <v>2475</v>
      </c>
      <c r="AJ58" s="21">
        <f>X58*(1+'2-Data Input &amp; Assumptions'!$G360)</f>
        <v>965</v>
      </c>
      <c r="AK58" s="21">
        <f>Y58*(1+'2-Data Input &amp; Assumptions'!$G360)</f>
        <v>0</v>
      </c>
      <c r="AL58" s="21">
        <f>Z58*(1+'2-Data Input &amp; Assumptions'!$G360)</f>
        <v>0</v>
      </c>
      <c r="AM58" s="21">
        <f>AA58*(1+'2-Data Input &amp; Assumptions'!$G360)</f>
        <v>6000</v>
      </c>
      <c r="AN58" s="21">
        <f>AB58*(1+'2-Data Input &amp; Assumptions'!$G360)</f>
        <v>450</v>
      </c>
      <c r="AQ58" s="8"/>
      <c r="AR58" s="8"/>
      <c r="AS58" s="8"/>
    </row>
    <row r="59" spans="2:45" x14ac:dyDescent="0.3">
      <c r="B59" s="19"/>
      <c r="C59" s="12"/>
      <c r="D59" s="20" t="str">
        <f>'2-Data Input &amp; Assumptions'!A21</f>
        <v>TRANSIT TAX</v>
      </c>
      <c r="E59" s="21">
        <f>'2-Data Input &amp; Assumptions'!C224/1000</f>
        <v>1056.355</v>
      </c>
      <c r="F59" s="21">
        <f>'2-Data Input &amp; Assumptions'!D224/1000</f>
        <v>1203.0909999999999</v>
      </c>
      <c r="G59" s="21">
        <f>'2-Data Input &amp; Assumptions'!E224/1000</f>
        <v>944.25699999999995</v>
      </c>
      <c r="H59" s="21">
        <f>'2-Data Input &amp; Assumptions'!F224/1000</f>
        <v>870</v>
      </c>
      <c r="I59" s="21">
        <f>'2-Data Input &amp; Assumptions'!G224/1000</f>
        <v>602.6</v>
      </c>
      <c r="J59" s="21">
        <f>'2-Data Input &amp; Assumptions'!H224/1000</f>
        <v>611.1</v>
      </c>
      <c r="K59" s="21">
        <f>'2-Data Input &amp; Assumptions'!I224/1000</f>
        <v>647.70000000000005</v>
      </c>
      <c r="L59" s="21">
        <f>'2-Data Input &amp; Assumptions'!J224/1000</f>
        <v>664.7</v>
      </c>
      <c r="M59" s="21">
        <f>'2-Data Input &amp; Assumptions'!K224/1000</f>
        <v>734.8</v>
      </c>
      <c r="N59" s="21">
        <f>'2-Data Input &amp; Assumptions'!L224/1000</f>
        <v>678.7</v>
      </c>
      <c r="O59" s="21">
        <f>'2-Data Input &amp; Assumptions'!M224/1000</f>
        <v>664.6</v>
      </c>
      <c r="P59" s="86">
        <f>'2-Data Input &amp; Assumptions'!N224/1000</f>
        <v>651.1</v>
      </c>
      <c r="Q59" s="21">
        <f>'2-Data Input &amp; Assumptions'!C293/1000</f>
        <v>1009.1318033927582</v>
      </c>
      <c r="R59" s="21">
        <f>'2-Data Input &amp; Assumptions'!D293/1000</f>
        <v>1022.7695540472661</v>
      </c>
      <c r="S59" s="21">
        <f>'2-Data Input &amp; Assumptions'!E293/1000</f>
        <v>889.99795788568338</v>
      </c>
      <c r="T59" s="21">
        <f>'2-Data Input &amp; Assumptions'!F293/1000</f>
        <v>779.48421403646728</v>
      </c>
      <c r="U59" s="21">
        <f>'2-Data Input &amp; Assumptions'!G293/1000</f>
        <v>970.54065892414042</v>
      </c>
      <c r="V59" s="21">
        <f>'2-Data Input &amp; Assumptions'!H293/1000</f>
        <v>943.64649498718768</v>
      </c>
      <c r="W59" s="21">
        <f>'2-Data Input &amp; Assumptions'!I293/1000</f>
        <v>1031.1234110891376</v>
      </c>
      <c r="X59" s="21">
        <f>'2-Data Input &amp; Assumptions'!J293/1000</f>
        <v>945.45488374252659</v>
      </c>
      <c r="Y59" s="21">
        <f>'2-Data Input &amp; Assumptions'!K293/1000</f>
        <v>1231.8476474871889</v>
      </c>
      <c r="Z59" s="21">
        <f>'2-Data Input &amp; Assumptions'!L293/1000</f>
        <v>1079.2504596609565</v>
      </c>
      <c r="AA59" s="21">
        <f>'2-Data Input &amp; Assumptions'!M293/1000</f>
        <v>1048.7419880149582</v>
      </c>
      <c r="AB59" s="86">
        <f>'2-Data Input &amp; Assumptions'!N293/1000</f>
        <v>1048.0109267317293</v>
      </c>
      <c r="AC59" s="21">
        <f>Q59*(1+'2-Data Input &amp; Assumptions'!$G361)</f>
        <v>1009.1318033927582</v>
      </c>
      <c r="AD59" s="21">
        <f>R59*(1+'2-Data Input &amp; Assumptions'!$G361)</f>
        <v>1022.7695540472661</v>
      </c>
      <c r="AE59" s="21">
        <f>S59*(1+'2-Data Input &amp; Assumptions'!$G361)</f>
        <v>889.99795788568338</v>
      </c>
      <c r="AF59" s="21">
        <f>T59*(1+'2-Data Input &amp; Assumptions'!$G361)</f>
        <v>779.48421403646728</v>
      </c>
      <c r="AG59" s="21">
        <f>U59*(1+'2-Data Input &amp; Assumptions'!$G361)</f>
        <v>970.54065892414042</v>
      </c>
      <c r="AH59" s="21">
        <f>V59*(1+'2-Data Input &amp; Assumptions'!$G361)</f>
        <v>943.64649498718768</v>
      </c>
      <c r="AI59" s="21">
        <f>W59*(1+'2-Data Input &amp; Assumptions'!$G361)</f>
        <v>1031.1234110891376</v>
      </c>
      <c r="AJ59" s="21">
        <f>X59*(1+'2-Data Input &amp; Assumptions'!$G361)</f>
        <v>945.45488374252659</v>
      </c>
      <c r="AK59" s="21">
        <f>Y59*(1+'2-Data Input &amp; Assumptions'!$G361)</f>
        <v>1231.8476474871889</v>
      </c>
      <c r="AL59" s="21">
        <f>Z59*(1+'2-Data Input &amp; Assumptions'!$G361)</f>
        <v>1079.2504596609565</v>
      </c>
      <c r="AM59" s="21">
        <f>AA59*(1+'2-Data Input &amp; Assumptions'!$G361)</f>
        <v>1048.7419880149582</v>
      </c>
      <c r="AN59" s="21">
        <f>AB59*(1+'2-Data Input &amp; Assumptions'!$G361)</f>
        <v>1048.0109267317293</v>
      </c>
      <c r="AQ59" s="8"/>
      <c r="AR59" s="8"/>
      <c r="AS59" s="8"/>
    </row>
    <row r="60" spans="2:45" x14ac:dyDescent="0.3">
      <c r="B60" s="19"/>
      <c r="C60" s="12"/>
      <c r="D60" s="20" t="str">
        <f>'2-Data Input &amp; Assumptions'!A22</f>
        <v>PARK</v>
      </c>
      <c r="E60" s="21">
        <f>'2-Data Input &amp; Assumptions'!C225/1000</f>
        <v>260.399</v>
      </c>
      <c r="F60" s="21">
        <f>'2-Data Input &amp; Assumptions'!D225/1000</f>
        <v>114.91200000000001</v>
      </c>
      <c r="G60" s="21">
        <f>'2-Data Input &amp; Assumptions'!E225/1000</f>
        <v>67.965000000000003</v>
      </c>
      <c r="H60" s="21">
        <f>'2-Data Input &amp; Assumptions'!F225/1000</f>
        <v>127.2</v>
      </c>
      <c r="I60" s="21">
        <f>'2-Data Input &amp; Assumptions'!G225/1000</f>
        <v>315.2</v>
      </c>
      <c r="J60" s="21">
        <f>'2-Data Input &amp; Assumptions'!H225/1000</f>
        <v>515</v>
      </c>
      <c r="K60" s="21">
        <f>'2-Data Input &amp; Assumptions'!I225/1000</f>
        <v>647.4</v>
      </c>
      <c r="L60" s="21">
        <f>'2-Data Input &amp; Assumptions'!J225/1000</f>
        <v>346.05</v>
      </c>
      <c r="M60" s="21">
        <f>'2-Data Input &amp; Assumptions'!K225/1000</f>
        <v>179.02500000000001</v>
      </c>
      <c r="N60" s="21">
        <f>'2-Data Input &amp; Assumptions'!L225/1000</f>
        <v>81.974999999999994</v>
      </c>
      <c r="O60" s="21">
        <f>'2-Data Input &amp; Assumptions'!M225/1000</f>
        <v>13.725</v>
      </c>
      <c r="P60" s="86">
        <f>'2-Data Input &amp; Assumptions'!N225/1000</f>
        <v>60.6</v>
      </c>
      <c r="Q60" s="21">
        <f>'2-Data Input &amp; Assumptions'!C294/1000</f>
        <v>240.12192970850018</v>
      </c>
      <c r="R60" s="21">
        <f>'2-Data Input &amp; Assumptions'!D294/1000</f>
        <v>122.0786183055537</v>
      </c>
      <c r="S60" s="21">
        <f>'2-Data Input &amp; Assumptions'!E294/1000</f>
        <v>111.50016490600885</v>
      </c>
      <c r="T60" s="21">
        <f>'2-Data Input &amp; Assumptions'!F294/1000</f>
        <v>140.67270108596892</v>
      </c>
      <c r="U60" s="21">
        <f>'2-Data Input &amp; Assumptions'!G294/1000</f>
        <v>371.96413224482046</v>
      </c>
      <c r="V60" s="21">
        <f>'2-Data Input &amp; Assumptions'!H294/1000</f>
        <v>833.65899610936765</v>
      </c>
      <c r="W60" s="21">
        <f>'2-Data Input &amp; Assumptions'!I294/1000</f>
        <v>1509.152546371962</v>
      </c>
      <c r="X60" s="21">
        <f>'2-Data Input &amp; Assumptions'!J294/1000</f>
        <v>1087.5242826826543</v>
      </c>
      <c r="Y60" s="21">
        <f>'2-Data Input &amp; Assumptions'!K294/1000</f>
        <v>334.26351184910385</v>
      </c>
      <c r="Z60" s="21">
        <f>'2-Data Input &amp; Assumptions'!L294/1000</f>
        <v>140.60726962099955</v>
      </c>
      <c r="AA60" s="21">
        <f>'2-Data Input &amp; Assumptions'!M294/1000</f>
        <v>28.171269812655584</v>
      </c>
      <c r="AB60" s="86">
        <f>'2-Data Input &amp; Assumptions'!N294/1000</f>
        <v>88.228007302404919</v>
      </c>
      <c r="AC60" s="21">
        <f>Q60*(1+'2-Data Input &amp; Assumptions'!$G362)</f>
        <v>247.32558759975518</v>
      </c>
      <c r="AD60" s="21">
        <f>R60*(1+'2-Data Input &amp; Assumptions'!$G362)</f>
        <v>125.74097685472032</v>
      </c>
      <c r="AE60" s="21">
        <f>S60*(1+'2-Data Input &amp; Assumptions'!$G362)</f>
        <v>114.84516985318912</v>
      </c>
      <c r="AF60" s="21">
        <f>T60*(1+'2-Data Input &amp; Assumptions'!$G362)</f>
        <v>144.89288211854799</v>
      </c>
      <c r="AG60" s="21">
        <f>U60*(1+'2-Data Input &amp; Assumptions'!$G362)</f>
        <v>383.12305621216507</v>
      </c>
      <c r="AH60" s="21">
        <f>V60*(1+'2-Data Input &amp; Assumptions'!$G362)</f>
        <v>858.66876599264867</v>
      </c>
      <c r="AI60" s="21">
        <f>W60*(1+'2-Data Input &amp; Assumptions'!$G362)</f>
        <v>1554.4271227631209</v>
      </c>
      <c r="AJ60" s="21">
        <f>X60*(1+'2-Data Input &amp; Assumptions'!$G362)</f>
        <v>1120.150011163134</v>
      </c>
      <c r="AK60" s="21">
        <f>Y60*(1+'2-Data Input &amp; Assumptions'!$G362)</f>
        <v>344.29141720457699</v>
      </c>
      <c r="AL60" s="21">
        <f>Z60*(1+'2-Data Input &amp; Assumptions'!$G362)</f>
        <v>144.82548770962953</v>
      </c>
      <c r="AM60" s="21">
        <f>AA60*(1+'2-Data Input &amp; Assumptions'!$G362)</f>
        <v>29.016407907035251</v>
      </c>
      <c r="AN60" s="21">
        <f>AB60*(1+'2-Data Input &amp; Assumptions'!$G362)</f>
        <v>90.874847521477065</v>
      </c>
      <c r="AQ60" s="8"/>
      <c r="AR60" s="8"/>
      <c r="AS60" s="8"/>
    </row>
    <row r="61" spans="2:45" x14ac:dyDescent="0.3">
      <c r="B61" s="19"/>
      <c r="C61" s="12"/>
      <c r="D61" s="20" t="str">
        <f>'2-Data Input &amp; Assumptions'!A23</f>
        <v>LIBRARY</v>
      </c>
      <c r="E61" s="21">
        <f>'2-Data Input &amp; Assumptions'!C226/1000</f>
        <v>41.143000000000001</v>
      </c>
      <c r="F61" s="21">
        <f>'2-Data Input &amp; Assumptions'!D226/1000</f>
        <v>163.57</v>
      </c>
      <c r="G61" s="21">
        <f>'2-Data Input &amp; Assumptions'!E226/1000</f>
        <v>17.103999999999999</v>
      </c>
      <c r="H61" s="21">
        <f>'2-Data Input &amp; Assumptions'!F226/1000</f>
        <v>73.7</v>
      </c>
      <c r="I61" s="21">
        <f>'2-Data Input &amp; Assumptions'!G226/1000</f>
        <v>27.7</v>
      </c>
      <c r="J61" s="21">
        <f>'2-Data Input &amp; Assumptions'!H226/1000</f>
        <v>26.3</v>
      </c>
      <c r="K61" s="21">
        <f>'2-Data Input &amp; Assumptions'!I226/1000</f>
        <v>33.6</v>
      </c>
      <c r="L61" s="21">
        <f>'2-Data Input &amp; Assumptions'!J226/1000</f>
        <v>86.3</v>
      </c>
      <c r="M61" s="21">
        <f>'2-Data Input &amp; Assumptions'!K226/1000</f>
        <v>141.69999999999999</v>
      </c>
      <c r="N61" s="21">
        <f>'2-Data Input &amp; Assumptions'!L226/1000</f>
        <v>68.400000000000006</v>
      </c>
      <c r="O61" s="21">
        <f>'2-Data Input &amp; Assumptions'!M226/1000</f>
        <v>28.9</v>
      </c>
      <c r="P61" s="86">
        <f>'2-Data Input &amp; Assumptions'!N226/1000</f>
        <v>38.299999999999997</v>
      </c>
      <c r="Q61" s="21">
        <f>'2-Data Input &amp; Assumptions'!C295/1000</f>
        <v>39.462088854483717</v>
      </c>
      <c r="R61" s="21">
        <f>'2-Data Input &amp; Assumptions'!D295/1000</f>
        <v>25.539414293645216</v>
      </c>
      <c r="S61" s="21">
        <f>'2-Data Input &amp; Assumptions'!E295/1000</f>
        <v>89.882972663800786</v>
      </c>
      <c r="T61" s="21">
        <f>'2-Data Input &amp; Assumptions'!F295/1000</f>
        <v>74.393117435301534</v>
      </c>
      <c r="U61" s="21">
        <f>'2-Data Input &amp; Assumptions'!G295/1000</f>
        <v>32.124075581920451</v>
      </c>
      <c r="V61" s="21">
        <f>'2-Data Input &amp; Assumptions'!H295/1000</f>
        <v>27.534102661732391</v>
      </c>
      <c r="W61" s="21">
        <f>'2-Data Input &amp; Assumptions'!I295/1000</f>
        <v>32.731970677892662</v>
      </c>
      <c r="X61" s="21">
        <f>'2-Data Input &amp; Assumptions'!J295/1000</f>
        <v>68.865755679300435</v>
      </c>
      <c r="Y61" s="21">
        <f>'2-Data Input &amp; Assumptions'!K295/1000</f>
        <v>84.455710271801962</v>
      </c>
      <c r="Z61" s="21">
        <f>'2-Data Input &amp; Assumptions'!L295/1000</f>
        <v>100.45805338995875</v>
      </c>
      <c r="AA61" s="21">
        <f>'2-Data Input &amp; Assumptions'!M295/1000</f>
        <v>52.661649780576539</v>
      </c>
      <c r="AB61" s="86">
        <f>'2-Data Input &amp; Assumptions'!N295/1000</f>
        <v>34.795998709585582</v>
      </c>
      <c r="AC61" s="21">
        <f>Q61*(1+'2-Data Input &amp; Assumptions'!$G363)</f>
        <v>40.645951520118231</v>
      </c>
      <c r="AD61" s="21">
        <f>R61*(1+'2-Data Input &amp; Assumptions'!$G363)</f>
        <v>26.305596722454574</v>
      </c>
      <c r="AE61" s="21">
        <f>S61*(1+'2-Data Input &amp; Assumptions'!$G363)</f>
        <v>92.57946184371481</v>
      </c>
      <c r="AF61" s="21">
        <f>T61*(1+'2-Data Input &amp; Assumptions'!$G363)</f>
        <v>76.624910958360587</v>
      </c>
      <c r="AG61" s="21">
        <f>U61*(1+'2-Data Input &amp; Assumptions'!$G363)</f>
        <v>33.087797849378063</v>
      </c>
      <c r="AH61" s="21">
        <f>V61*(1+'2-Data Input &amp; Assumptions'!$G363)</f>
        <v>28.360125741584362</v>
      </c>
      <c r="AI61" s="21">
        <f>W61*(1+'2-Data Input &amp; Assumptions'!$G363)</f>
        <v>33.713929798229444</v>
      </c>
      <c r="AJ61" s="21">
        <f>X61*(1+'2-Data Input &amp; Assumptions'!$G363)</f>
        <v>70.931728349679446</v>
      </c>
      <c r="AK61" s="21">
        <f>Y61*(1+'2-Data Input &amp; Assumptions'!$G363)</f>
        <v>86.989381579956017</v>
      </c>
      <c r="AL61" s="21">
        <f>Z61*(1+'2-Data Input &amp; Assumptions'!$G363)</f>
        <v>103.47179499165752</v>
      </c>
      <c r="AM61" s="21">
        <f>AA61*(1+'2-Data Input &amp; Assumptions'!$G363)</f>
        <v>54.241499273993838</v>
      </c>
      <c r="AN61" s="21">
        <f>AB61*(1+'2-Data Input &amp; Assumptions'!$G363)</f>
        <v>35.839878670873148</v>
      </c>
      <c r="AQ61" s="8"/>
      <c r="AR61" s="8"/>
      <c r="AS61" s="8"/>
    </row>
    <row r="62" spans="2:45" x14ac:dyDescent="0.3">
      <c r="B62" s="19"/>
      <c r="C62" s="12"/>
      <c r="D62" s="20" t="str">
        <f>'2-Data Input &amp; Assumptions'!A24</f>
        <v>FINANCING PROCEEDS</v>
      </c>
      <c r="E62" s="21">
        <f>'2-Data Input &amp; Assumptions'!C227/1000</f>
        <v>11548.502</v>
      </c>
      <c r="F62" s="21">
        <f>'2-Data Input &amp; Assumptions'!D227/1000</f>
        <v>0</v>
      </c>
      <c r="G62" s="21">
        <f>'2-Data Input &amp; Assumptions'!E227/1000</f>
        <v>0</v>
      </c>
      <c r="H62" s="21">
        <f>'2-Data Input &amp; Assumptions'!F227/1000</f>
        <v>0</v>
      </c>
      <c r="I62" s="21">
        <f>'2-Data Input &amp; Assumptions'!G227/1000</f>
        <v>0</v>
      </c>
      <c r="J62" s="21">
        <f>'2-Data Input &amp; Assumptions'!H227/1000</f>
        <v>0</v>
      </c>
      <c r="K62" s="21">
        <f>'2-Data Input &amp; Assumptions'!I227/1000</f>
        <v>0</v>
      </c>
      <c r="L62" s="21">
        <f>'2-Data Input &amp; Assumptions'!J227/1000</f>
        <v>0</v>
      </c>
      <c r="M62" s="21">
        <f>'2-Data Input &amp; Assumptions'!K227/1000</f>
        <v>0</v>
      </c>
      <c r="N62" s="21">
        <f>'2-Data Input &amp; Assumptions'!L227/1000</f>
        <v>0</v>
      </c>
      <c r="O62" s="21">
        <f>'2-Data Input &amp; Assumptions'!M227/1000</f>
        <v>0</v>
      </c>
      <c r="P62" s="86">
        <f>'2-Data Input &amp; Assumptions'!N227/1000</f>
        <v>0</v>
      </c>
      <c r="Q62" s="21">
        <f>'2-Data Input &amp; Assumptions'!C296/1000</f>
        <v>0</v>
      </c>
      <c r="R62" s="21">
        <f>'2-Data Input &amp; Assumptions'!D296/1000</f>
        <v>0</v>
      </c>
      <c r="S62" s="21">
        <f>'2-Data Input &amp; Assumptions'!E296/1000</f>
        <v>0</v>
      </c>
      <c r="T62" s="21">
        <f>'2-Data Input &amp; Assumptions'!F296/1000</f>
        <v>0</v>
      </c>
      <c r="U62" s="21">
        <f>'2-Data Input &amp; Assumptions'!G296/1000</f>
        <v>0</v>
      </c>
      <c r="V62" s="21">
        <f>'2-Data Input &amp; Assumptions'!H296/1000</f>
        <v>0</v>
      </c>
      <c r="W62" s="21">
        <f>'2-Data Input &amp; Assumptions'!I296/1000</f>
        <v>0</v>
      </c>
      <c r="X62" s="21">
        <f>'2-Data Input &amp; Assumptions'!J296/1000</f>
        <v>0</v>
      </c>
      <c r="Y62" s="21">
        <f>'2-Data Input &amp; Assumptions'!K296/1000</f>
        <v>0</v>
      </c>
      <c r="Z62" s="21">
        <f>'2-Data Input &amp; Assumptions'!L296/1000</f>
        <v>0</v>
      </c>
      <c r="AA62" s="21">
        <f>'2-Data Input &amp; Assumptions'!M296/1000</f>
        <v>0</v>
      </c>
      <c r="AB62" s="86">
        <f>'2-Data Input &amp; Assumptions'!N296/1000</f>
        <v>11548.502</v>
      </c>
      <c r="AC62" s="21">
        <f>Q62*(1+'2-Data Input &amp; Assumptions'!$G364)</f>
        <v>0</v>
      </c>
      <c r="AD62" s="21">
        <f>R62*(1+'2-Data Input &amp; Assumptions'!$G364)</f>
        <v>0</v>
      </c>
      <c r="AE62" s="21">
        <f>S62*(1+'2-Data Input &amp; Assumptions'!$G364)</f>
        <v>0</v>
      </c>
      <c r="AF62" s="21">
        <f>T62*(1+'2-Data Input &amp; Assumptions'!$G364)</f>
        <v>0</v>
      </c>
      <c r="AG62" s="21">
        <f>U62*(1+'2-Data Input &amp; Assumptions'!$G364)</f>
        <v>0</v>
      </c>
      <c r="AH62" s="21">
        <f>V62*(1+'2-Data Input &amp; Assumptions'!$G364)</f>
        <v>0</v>
      </c>
      <c r="AI62" s="21">
        <f>W62*(1+'2-Data Input &amp; Assumptions'!$G364)</f>
        <v>0</v>
      </c>
      <c r="AJ62" s="21">
        <f>X62*(1+'2-Data Input &amp; Assumptions'!$G364)</f>
        <v>0</v>
      </c>
      <c r="AK62" s="21">
        <f>Y62*(1+'2-Data Input &amp; Assumptions'!$G364)</f>
        <v>0</v>
      </c>
      <c r="AL62" s="21">
        <f>Z62*(1+'2-Data Input &amp; Assumptions'!$G364)</f>
        <v>0</v>
      </c>
      <c r="AM62" s="21">
        <f>AA62*(1+'2-Data Input &amp; Assumptions'!$G364)</f>
        <v>0</v>
      </c>
      <c r="AN62" s="21">
        <f>AB62*(1+'2-Data Input &amp; Assumptions'!$G364)</f>
        <v>11548.502</v>
      </c>
      <c r="AQ62" s="8"/>
      <c r="AR62" s="8"/>
      <c r="AS62" s="8"/>
    </row>
    <row r="63" spans="2:45" x14ac:dyDescent="0.3">
      <c r="B63" s="19"/>
      <c r="C63" s="12"/>
      <c r="D63" s="20" t="str">
        <f>'2-Data Input &amp; Assumptions'!A25</f>
        <v>OTHER NON-RECURRING SOURCES</v>
      </c>
      <c r="E63" s="21">
        <f>'2-Data Input &amp; Assumptions'!C228/1000</f>
        <v>0</v>
      </c>
      <c r="F63" s="21">
        <f>'2-Data Input &amp; Assumptions'!D228/1000</f>
        <v>0</v>
      </c>
      <c r="G63" s="21">
        <f>'2-Data Input &amp; Assumptions'!E228/1000</f>
        <v>0</v>
      </c>
      <c r="H63" s="21">
        <f>'2-Data Input &amp; Assumptions'!F228/1000</f>
        <v>0</v>
      </c>
      <c r="I63" s="21">
        <f>'2-Data Input &amp; Assumptions'!G228/1000</f>
        <v>0</v>
      </c>
      <c r="J63" s="21">
        <f>'2-Data Input &amp; Assumptions'!H228/1000</f>
        <v>0</v>
      </c>
      <c r="K63" s="21">
        <f>'2-Data Input &amp; Assumptions'!I228/1000</f>
        <v>0</v>
      </c>
      <c r="L63" s="21">
        <f>'2-Data Input &amp; Assumptions'!J228/1000</f>
        <v>0</v>
      </c>
      <c r="M63" s="21">
        <f>'2-Data Input &amp; Assumptions'!K228/1000</f>
        <v>0</v>
      </c>
      <c r="N63" s="21">
        <f>'2-Data Input &amp; Assumptions'!L228/1000</f>
        <v>0</v>
      </c>
      <c r="O63" s="21">
        <f>'2-Data Input &amp; Assumptions'!M228/1000</f>
        <v>0</v>
      </c>
      <c r="P63" s="86">
        <f>'2-Data Input &amp; Assumptions'!N228/1000</f>
        <v>0</v>
      </c>
      <c r="Q63" s="21">
        <f>'2-Data Input &amp; Assumptions'!C297/1000</f>
        <v>0</v>
      </c>
      <c r="R63" s="21">
        <f>'2-Data Input &amp; Assumptions'!D297/1000</f>
        <v>0</v>
      </c>
      <c r="S63" s="21">
        <f>'2-Data Input &amp; Assumptions'!E297/1000</f>
        <v>0</v>
      </c>
      <c r="T63" s="21">
        <f>'2-Data Input &amp; Assumptions'!F297/1000</f>
        <v>0</v>
      </c>
      <c r="U63" s="21">
        <f>'2-Data Input &amp; Assumptions'!G297/1000</f>
        <v>0</v>
      </c>
      <c r="V63" s="21">
        <f>'2-Data Input &amp; Assumptions'!H297/1000</f>
        <v>0</v>
      </c>
      <c r="W63" s="21">
        <f>'2-Data Input &amp; Assumptions'!I297/1000</f>
        <v>0</v>
      </c>
      <c r="X63" s="21">
        <f>'2-Data Input &amp; Assumptions'!J297/1000</f>
        <v>0</v>
      </c>
      <c r="Y63" s="21">
        <f>'2-Data Input &amp; Assumptions'!K297/1000</f>
        <v>0</v>
      </c>
      <c r="Z63" s="21">
        <f>'2-Data Input &amp; Assumptions'!L297/1000</f>
        <v>0</v>
      </c>
      <c r="AA63" s="21">
        <f>'2-Data Input &amp; Assumptions'!M297/1000</f>
        <v>0</v>
      </c>
      <c r="AB63" s="86">
        <f>'2-Data Input &amp; Assumptions'!N297/1000</f>
        <v>0</v>
      </c>
      <c r="AC63" s="21">
        <f>Q63*(1+'2-Data Input &amp; Assumptions'!$G365)</f>
        <v>0</v>
      </c>
      <c r="AD63" s="21">
        <f>R63*(1+'2-Data Input &amp; Assumptions'!$G365)</f>
        <v>0</v>
      </c>
      <c r="AE63" s="21">
        <f>S63*(1+'2-Data Input &amp; Assumptions'!$G365)</f>
        <v>0</v>
      </c>
      <c r="AF63" s="21">
        <f>T63*(1+'2-Data Input &amp; Assumptions'!$G365)</f>
        <v>0</v>
      </c>
      <c r="AG63" s="21">
        <f>U63*(1+'2-Data Input &amp; Assumptions'!$G365)</f>
        <v>0</v>
      </c>
      <c r="AH63" s="21">
        <f>V63*(1+'2-Data Input &amp; Assumptions'!$G365)</f>
        <v>0</v>
      </c>
      <c r="AI63" s="21">
        <f>W63*(1+'2-Data Input &amp; Assumptions'!$G365)</f>
        <v>0</v>
      </c>
      <c r="AJ63" s="21">
        <f>X63*(1+'2-Data Input &amp; Assumptions'!$G365)</f>
        <v>0</v>
      </c>
      <c r="AK63" s="21">
        <f>Y63*(1+'2-Data Input &amp; Assumptions'!$G365)</f>
        <v>0</v>
      </c>
      <c r="AL63" s="21">
        <f>Z63*(1+'2-Data Input &amp; Assumptions'!$G365)</f>
        <v>0</v>
      </c>
      <c r="AM63" s="21">
        <f>AA63*(1+'2-Data Input &amp; Assumptions'!$G365)</f>
        <v>0</v>
      </c>
      <c r="AN63" s="21">
        <f>AB63*(1+'2-Data Input &amp; Assumptions'!$G365)</f>
        <v>0</v>
      </c>
      <c r="AQ63" s="8"/>
      <c r="AR63" s="8"/>
      <c r="AS63" s="8"/>
    </row>
    <row r="64" spans="2:45" x14ac:dyDescent="0.3">
      <c r="B64" s="19"/>
      <c r="C64" s="12"/>
      <c r="D64" s="20" t="str">
        <f>'2-Data Input &amp; Assumptions'!A26</f>
        <v>OTHER SOURCES</v>
      </c>
      <c r="E64" s="21">
        <f>'2-Data Input &amp; Assumptions'!C229/1000</f>
        <v>0</v>
      </c>
      <c r="F64" s="21">
        <f>'2-Data Input &amp; Assumptions'!D229/1000</f>
        <v>0</v>
      </c>
      <c r="G64" s="21">
        <f>'2-Data Input &amp; Assumptions'!E229/1000</f>
        <v>0</v>
      </c>
      <c r="H64" s="21">
        <f>'2-Data Input &amp; Assumptions'!F229/1000</f>
        <v>0</v>
      </c>
      <c r="I64" s="21">
        <f>'2-Data Input &amp; Assumptions'!G229/1000</f>
        <v>0</v>
      </c>
      <c r="J64" s="21">
        <f>'2-Data Input &amp; Assumptions'!H229/1000</f>
        <v>0</v>
      </c>
      <c r="K64" s="21">
        <f>'2-Data Input &amp; Assumptions'!I229/1000</f>
        <v>0</v>
      </c>
      <c r="L64" s="21">
        <f>'2-Data Input &amp; Assumptions'!J229/1000</f>
        <v>0</v>
      </c>
      <c r="M64" s="21">
        <f>'2-Data Input &amp; Assumptions'!K229/1000</f>
        <v>0</v>
      </c>
      <c r="N64" s="21">
        <f>'2-Data Input &amp; Assumptions'!L229/1000</f>
        <v>0</v>
      </c>
      <c r="O64" s="21">
        <f>'2-Data Input &amp; Assumptions'!M229/1000</f>
        <v>0</v>
      </c>
      <c r="P64" s="86">
        <f>'2-Data Input &amp; Assumptions'!N229/1000</f>
        <v>0</v>
      </c>
      <c r="Q64" s="21">
        <f>'2-Data Input &amp; Assumptions'!C298/1000</f>
        <v>0</v>
      </c>
      <c r="R64" s="21">
        <f>'2-Data Input &amp; Assumptions'!D298/1000</f>
        <v>0</v>
      </c>
      <c r="S64" s="21">
        <f>'2-Data Input &amp; Assumptions'!E298/1000</f>
        <v>0</v>
      </c>
      <c r="T64" s="21">
        <f>'2-Data Input &amp; Assumptions'!F298/1000</f>
        <v>0</v>
      </c>
      <c r="U64" s="21">
        <f>'2-Data Input &amp; Assumptions'!G298/1000</f>
        <v>0</v>
      </c>
      <c r="V64" s="21">
        <f>'2-Data Input &amp; Assumptions'!H298/1000</f>
        <v>0</v>
      </c>
      <c r="W64" s="21">
        <f>'2-Data Input &amp; Assumptions'!I298/1000</f>
        <v>0</v>
      </c>
      <c r="X64" s="21">
        <f>'2-Data Input &amp; Assumptions'!J298/1000</f>
        <v>0</v>
      </c>
      <c r="Y64" s="21">
        <f>'2-Data Input &amp; Assumptions'!K298/1000</f>
        <v>0</v>
      </c>
      <c r="Z64" s="21">
        <f>'2-Data Input &amp; Assumptions'!L298/1000</f>
        <v>0</v>
      </c>
      <c r="AA64" s="21">
        <f>'2-Data Input &amp; Assumptions'!M298/1000</f>
        <v>0</v>
      </c>
      <c r="AB64" s="86">
        <f>'2-Data Input &amp; Assumptions'!N298/1000</f>
        <v>0</v>
      </c>
      <c r="AC64" s="21">
        <f>Q64*(1+'2-Data Input &amp; Assumptions'!$G366)</f>
        <v>0</v>
      </c>
      <c r="AD64" s="21">
        <f>R64*(1+'2-Data Input &amp; Assumptions'!$G366)</f>
        <v>0</v>
      </c>
      <c r="AE64" s="21">
        <f>S64*(1+'2-Data Input &amp; Assumptions'!$G366)</f>
        <v>0</v>
      </c>
      <c r="AF64" s="21">
        <f>T64*(1+'2-Data Input &amp; Assumptions'!$G366)</f>
        <v>0</v>
      </c>
      <c r="AG64" s="21">
        <f>U64*(1+'2-Data Input &amp; Assumptions'!$G366)</f>
        <v>0</v>
      </c>
      <c r="AH64" s="21">
        <f>V64*(1+'2-Data Input &amp; Assumptions'!$G366)</f>
        <v>0</v>
      </c>
      <c r="AI64" s="21">
        <f>W64*(1+'2-Data Input &amp; Assumptions'!$G366)</f>
        <v>0</v>
      </c>
      <c r="AJ64" s="21">
        <f>X64*(1+'2-Data Input &amp; Assumptions'!$G366)</f>
        <v>0</v>
      </c>
      <c r="AK64" s="21">
        <f>Y64*(1+'2-Data Input &amp; Assumptions'!$G366)</f>
        <v>0</v>
      </c>
      <c r="AL64" s="21">
        <f>Z64*(1+'2-Data Input &amp; Assumptions'!$G366)</f>
        <v>0</v>
      </c>
      <c r="AM64" s="21">
        <f>AA64*(1+'2-Data Input &amp; Assumptions'!$G366)</f>
        <v>0</v>
      </c>
      <c r="AN64" s="21">
        <f>AB64*(1+'2-Data Input &amp; Assumptions'!$G366)</f>
        <v>0</v>
      </c>
      <c r="AQ64" s="8"/>
      <c r="AR64" s="8"/>
      <c r="AS64" s="8"/>
    </row>
    <row r="65" spans="2:45" x14ac:dyDescent="0.3">
      <c r="B65" s="19"/>
      <c r="C65" s="12"/>
      <c r="D65" s="20" t="str">
        <f>'2-Data Input &amp; Assumptions'!A27</f>
        <v>OTHER SOURCES</v>
      </c>
      <c r="E65" s="21">
        <f>'2-Data Input &amp; Assumptions'!C230/1000</f>
        <v>0</v>
      </c>
      <c r="F65" s="21">
        <f>'2-Data Input &amp; Assumptions'!D230/1000</f>
        <v>0</v>
      </c>
      <c r="G65" s="21">
        <f>'2-Data Input &amp; Assumptions'!E230/1000</f>
        <v>0</v>
      </c>
      <c r="H65" s="21">
        <f>'2-Data Input &amp; Assumptions'!F230/1000</f>
        <v>0</v>
      </c>
      <c r="I65" s="21">
        <f>'2-Data Input &amp; Assumptions'!G230/1000</f>
        <v>0</v>
      </c>
      <c r="J65" s="21">
        <f>'2-Data Input &amp; Assumptions'!H230/1000</f>
        <v>0</v>
      </c>
      <c r="K65" s="21">
        <f>'2-Data Input &amp; Assumptions'!I230/1000</f>
        <v>0</v>
      </c>
      <c r="L65" s="21">
        <f>'2-Data Input &amp; Assumptions'!J230/1000</f>
        <v>0</v>
      </c>
      <c r="M65" s="21">
        <f>'2-Data Input &amp; Assumptions'!K230/1000</f>
        <v>0</v>
      </c>
      <c r="N65" s="21">
        <f>'2-Data Input &amp; Assumptions'!L230/1000</f>
        <v>0</v>
      </c>
      <c r="O65" s="21">
        <f>'2-Data Input &amp; Assumptions'!M230/1000</f>
        <v>0</v>
      </c>
      <c r="P65" s="86">
        <f>'2-Data Input &amp; Assumptions'!N230/1000</f>
        <v>0</v>
      </c>
      <c r="Q65" s="21">
        <f>'2-Data Input &amp; Assumptions'!C299/1000</f>
        <v>0</v>
      </c>
      <c r="R65" s="21">
        <f>'2-Data Input &amp; Assumptions'!D299/1000</f>
        <v>0</v>
      </c>
      <c r="S65" s="21">
        <f>'2-Data Input &amp; Assumptions'!E299/1000</f>
        <v>0</v>
      </c>
      <c r="T65" s="21">
        <f>'2-Data Input &amp; Assumptions'!F299/1000</f>
        <v>0</v>
      </c>
      <c r="U65" s="21">
        <f>'2-Data Input &amp; Assumptions'!G299/1000</f>
        <v>0</v>
      </c>
      <c r="V65" s="21">
        <f>'2-Data Input &amp; Assumptions'!H299/1000</f>
        <v>0</v>
      </c>
      <c r="W65" s="21">
        <f>'2-Data Input &amp; Assumptions'!I299/1000</f>
        <v>0</v>
      </c>
      <c r="X65" s="21">
        <f>'2-Data Input &amp; Assumptions'!J299/1000</f>
        <v>0</v>
      </c>
      <c r="Y65" s="21">
        <f>'2-Data Input &amp; Assumptions'!K299/1000</f>
        <v>0</v>
      </c>
      <c r="Z65" s="21">
        <f>'2-Data Input &amp; Assumptions'!L299/1000</f>
        <v>0</v>
      </c>
      <c r="AA65" s="21">
        <f>'2-Data Input &amp; Assumptions'!M299/1000</f>
        <v>0</v>
      </c>
      <c r="AB65" s="86">
        <f>'2-Data Input &amp; Assumptions'!N299/1000</f>
        <v>0</v>
      </c>
      <c r="AC65" s="21">
        <f>Q65*(1+'2-Data Input &amp; Assumptions'!$G367)</f>
        <v>0</v>
      </c>
      <c r="AD65" s="21">
        <f>R65*(1+'2-Data Input &amp; Assumptions'!$G367)</f>
        <v>0</v>
      </c>
      <c r="AE65" s="21">
        <f>S65*(1+'2-Data Input &amp; Assumptions'!$G367)</f>
        <v>0</v>
      </c>
      <c r="AF65" s="21">
        <f>T65*(1+'2-Data Input &amp; Assumptions'!$G367)</f>
        <v>0</v>
      </c>
      <c r="AG65" s="21">
        <f>U65*(1+'2-Data Input &amp; Assumptions'!$G367)</f>
        <v>0</v>
      </c>
      <c r="AH65" s="21">
        <f>V65*(1+'2-Data Input &amp; Assumptions'!$G367)</f>
        <v>0</v>
      </c>
      <c r="AI65" s="21">
        <f>W65*(1+'2-Data Input &amp; Assumptions'!$G367)</f>
        <v>0</v>
      </c>
      <c r="AJ65" s="21">
        <f>X65*(1+'2-Data Input &amp; Assumptions'!$G367)</f>
        <v>0</v>
      </c>
      <c r="AK65" s="21">
        <f>Y65*(1+'2-Data Input &amp; Assumptions'!$G367)</f>
        <v>0</v>
      </c>
      <c r="AL65" s="21">
        <f>Z65*(1+'2-Data Input &amp; Assumptions'!$G367)</f>
        <v>0</v>
      </c>
      <c r="AM65" s="21">
        <f>AA65*(1+'2-Data Input &amp; Assumptions'!$G367)</f>
        <v>0</v>
      </c>
      <c r="AN65" s="21">
        <f>AB65*(1+'2-Data Input &amp; Assumptions'!$G367)</f>
        <v>0</v>
      </c>
      <c r="AQ65" s="8"/>
      <c r="AR65" s="8"/>
      <c r="AS65" s="8"/>
    </row>
    <row r="66" spans="2:45" x14ac:dyDescent="0.3">
      <c r="B66" s="19"/>
      <c r="C66" s="12"/>
      <c r="D66" s="20" t="str">
        <f>'2-Data Input &amp; Assumptions'!A28</f>
        <v>OTHER SOURCES</v>
      </c>
      <c r="E66" s="21">
        <f>'2-Data Input &amp; Assumptions'!C231/1000</f>
        <v>0</v>
      </c>
      <c r="F66" s="21">
        <f>'2-Data Input &amp; Assumptions'!D231/1000</f>
        <v>0</v>
      </c>
      <c r="G66" s="21">
        <f>'2-Data Input &amp; Assumptions'!E231/1000</f>
        <v>0</v>
      </c>
      <c r="H66" s="21">
        <f>'2-Data Input &amp; Assumptions'!F231/1000</f>
        <v>0</v>
      </c>
      <c r="I66" s="21">
        <f>'2-Data Input &amp; Assumptions'!G231/1000</f>
        <v>0</v>
      </c>
      <c r="J66" s="21">
        <f>'2-Data Input &amp; Assumptions'!H231/1000</f>
        <v>0</v>
      </c>
      <c r="K66" s="21">
        <f>'2-Data Input &amp; Assumptions'!I231/1000</f>
        <v>0</v>
      </c>
      <c r="L66" s="21">
        <f>'2-Data Input &amp; Assumptions'!J231/1000</f>
        <v>0</v>
      </c>
      <c r="M66" s="21">
        <f>'2-Data Input &amp; Assumptions'!K231/1000</f>
        <v>0</v>
      </c>
      <c r="N66" s="21">
        <f>'2-Data Input &amp; Assumptions'!L231/1000</f>
        <v>0</v>
      </c>
      <c r="O66" s="21">
        <f>'2-Data Input &amp; Assumptions'!M231/1000</f>
        <v>0</v>
      </c>
      <c r="P66" s="86">
        <f>'2-Data Input &amp; Assumptions'!N231/1000</f>
        <v>0</v>
      </c>
      <c r="Q66" s="21">
        <f>'2-Data Input &amp; Assumptions'!C300/1000</f>
        <v>0</v>
      </c>
      <c r="R66" s="21">
        <f>'2-Data Input &amp; Assumptions'!D300/1000</f>
        <v>0</v>
      </c>
      <c r="S66" s="21">
        <f>'2-Data Input &amp; Assumptions'!E300/1000</f>
        <v>0</v>
      </c>
      <c r="T66" s="21">
        <f>'2-Data Input &amp; Assumptions'!F300/1000</f>
        <v>0</v>
      </c>
      <c r="U66" s="21">
        <f>'2-Data Input &amp; Assumptions'!G300/1000</f>
        <v>0</v>
      </c>
      <c r="V66" s="21">
        <f>'2-Data Input &amp; Assumptions'!H300/1000</f>
        <v>0</v>
      </c>
      <c r="W66" s="21">
        <f>'2-Data Input &amp; Assumptions'!I300/1000</f>
        <v>0</v>
      </c>
      <c r="X66" s="21">
        <f>'2-Data Input &amp; Assumptions'!J300/1000</f>
        <v>0</v>
      </c>
      <c r="Y66" s="21">
        <f>'2-Data Input &amp; Assumptions'!K300/1000</f>
        <v>0</v>
      </c>
      <c r="Z66" s="21">
        <f>'2-Data Input &amp; Assumptions'!L300/1000</f>
        <v>0</v>
      </c>
      <c r="AA66" s="21">
        <f>'2-Data Input &amp; Assumptions'!M300/1000</f>
        <v>0</v>
      </c>
      <c r="AB66" s="86">
        <f>'2-Data Input &amp; Assumptions'!N300/1000</f>
        <v>0</v>
      </c>
      <c r="AC66" s="21">
        <f>Q66*(1+'2-Data Input &amp; Assumptions'!$G368)</f>
        <v>0</v>
      </c>
      <c r="AD66" s="21">
        <f>R66*(1+'2-Data Input &amp; Assumptions'!$G368)</f>
        <v>0</v>
      </c>
      <c r="AE66" s="21">
        <f>S66*(1+'2-Data Input &amp; Assumptions'!$G368)</f>
        <v>0</v>
      </c>
      <c r="AF66" s="21">
        <f>T66*(1+'2-Data Input &amp; Assumptions'!$G368)</f>
        <v>0</v>
      </c>
      <c r="AG66" s="21">
        <f>U66*(1+'2-Data Input &amp; Assumptions'!$G368)</f>
        <v>0</v>
      </c>
      <c r="AH66" s="21">
        <f>V66*(1+'2-Data Input &amp; Assumptions'!$G368)</f>
        <v>0</v>
      </c>
      <c r="AI66" s="21">
        <f>W66*(1+'2-Data Input &amp; Assumptions'!$G368)</f>
        <v>0</v>
      </c>
      <c r="AJ66" s="21">
        <f>X66*(1+'2-Data Input &amp; Assumptions'!$G368)</f>
        <v>0</v>
      </c>
      <c r="AK66" s="21">
        <f>Y66*(1+'2-Data Input &amp; Assumptions'!$G368)</f>
        <v>0</v>
      </c>
      <c r="AL66" s="21">
        <f>Z66*(1+'2-Data Input &amp; Assumptions'!$G368)</f>
        <v>0</v>
      </c>
      <c r="AM66" s="21">
        <f>AA66*(1+'2-Data Input &amp; Assumptions'!$G368)</f>
        <v>0</v>
      </c>
      <c r="AN66" s="21">
        <f>AB66*(1+'2-Data Input &amp; Assumptions'!$G368)</f>
        <v>0</v>
      </c>
      <c r="AQ66" s="8"/>
      <c r="AR66" s="8"/>
      <c r="AS66" s="8"/>
    </row>
    <row r="67" spans="2:45" x14ac:dyDescent="0.3">
      <c r="B67" s="19"/>
      <c r="C67" s="12"/>
      <c r="D67" s="20" t="str">
        <f>'2-Data Input &amp; Assumptions'!A29</f>
        <v>OTHER SOURCES</v>
      </c>
      <c r="E67" s="21">
        <f>'2-Data Input &amp; Assumptions'!C232/1000</f>
        <v>0</v>
      </c>
      <c r="F67" s="21">
        <f>'2-Data Input &amp; Assumptions'!D232/1000</f>
        <v>0</v>
      </c>
      <c r="G67" s="21">
        <f>'2-Data Input &amp; Assumptions'!E232/1000</f>
        <v>0</v>
      </c>
      <c r="H67" s="21">
        <f>'2-Data Input &amp; Assumptions'!F232/1000</f>
        <v>0</v>
      </c>
      <c r="I67" s="21">
        <f>'2-Data Input &amp; Assumptions'!G232/1000</f>
        <v>0</v>
      </c>
      <c r="J67" s="21">
        <f>'2-Data Input &amp; Assumptions'!H232/1000</f>
        <v>0</v>
      </c>
      <c r="K67" s="21">
        <f>'2-Data Input &amp; Assumptions'!I232/1000</f>
        <v>0</v>
      </c>
      <c r="L67" s="21">
        <f>'2-Data Input &amp; Assumptions'!J232/1000</f>
        <v>0</v>
      </c>
      <c r="M67" s="21">
        <f>'2-Data Input &amp; Assumptions'!K232/1000</f>
        <v>0</v>
      </c>
      <c r="N67" s="21">
        <f>'2-Data Input &amp; Assumptions'!L232/1000</f>
        <v>0</v>
      </c>
      <c r="O67" s="21">
        <f>'2-Data Input &amp; Assumptions'!M232/1000</f>
        <v>0</v>
      </c>
      <c r="P67" s="86">
        <f>'2-Data Input &amp; Assumptions'!N232/1000</f>
        <v>0</v>
      </c>
      <c r="Q67" s="21">
        <f>'2-Data Input &amp; Assumptions'!C301/1000</f>
        <v>0</v>
      </c>
      <c r="R67" s="21">
        <f>'2-Data Input &amp; Assumptions'!D301/1000</f>
        <v>0</v>
      </c>
      <c r="S67" s="21">
        <f>'2-Data Input &amp; Assumptions'!E301/1000</f>
        <v>0</v>
      </c>
      <c r="T67" s="21">
        <f>'2-Data Input &amp; Assumptions'!F301/1000</f>
        <v>0</v>
      </c>
      <c r="U67" s="21">
        <f>'2-Data Input &amp; Assumptions'!G301/1000</f>
        <v>0</v>
      </c>
      <c r="V67" s="21">
        <f>'2-Data Input &amp; Assumptions'!H301/1000</f>
        <v>0</v>
      </c>
      <c r="W67" s="21">
        <f>'2-Data Input &amp; Assumptions'!I301/1000</f>
        <v>0</v>
      </c>
      <c r="X67" s="21">
        <f>'2-Data Input &amp; Assumptions'!J301/1000</f>
        <v>0</v>
      </c>
      <c r="Y67" s="21">
        <f>'2-Data Input &amp; Assumptions'!K301/1000</f>
        <v>0</v>
      </c>
      <c r="Z67" s="21">
        <f>'2-Data Input &amp; Assumptions'!L301/1000</f>
        <v>0</v>
      </c>
      <c r="AA67" s="21">
        <f>'2-Data Input &amp; Assumptions'!M301/1000</f>
        <v>0</v>
      </c>
      <c r="AB67" s="86">
        <f>'2-Data Input &amp; Assumptions'!N301/1000</f>
        <v>0</v>
      </c>
      <c r="AC67" s="21">
        <f>Q67*(1+'2-Data Input &amp; Assumptions'!$G369)</f>
        <v>0</v>
      </c>
      <c r="AD67" s="21">
        <f>R67*(1+'2-Data Input &amp; Assumptions'!$G369)</f>
        <v>0</v>
      </c>
      <c r="AE67" s="21">
        <f>S67*(1+'2-Data Input &amp; Assumptions'!$G369)</f>
        <v>0</v>
      </c>
      <c r="AF67" s="21">
        <f>T67*(1+'2-Data Input &amp; Assumptions'!$G369)</f>
        <v>0</v>
      </c>
      <c r="AG67" s="21">
        <f>U67*(1+'2-Data Input &amp; Assumptions'!$G369)</f>
        <v>0</v>
      </c>
      <c r="AH67" s="21">
        <f>V67*(1+'2-Data Input &amp; Assumptions'!$G369)</f>
        <v>0</v>
      </c>
      <c r="AI67" s="21">
        <f>W67*(1+'2-Data Input &amp; Assumptions'!$G369)</f>
        <v>0</v>
      </c>
      <c r="AJ67" s="21">
        <f>X67*(1+'2-Data Input &amp; Assumptions'!$G369)</f>
        <v>0</v>
      </c>
      <c r="AK67" s="21">
        <f>Y67*(1+'2-Data Input &amp; Assumptions'!$G369)</f>
        <v>0</v>
      </c>
      <c r="AL67" s="21">
        <f>Z67*(1+'2-Data Input &amp; Assumptions'!$G369)</f>
        <v>0</v>
      </c>
      <c r="AM67" s="21">
        <f>AA67*(1+'2-Data Input &amp; Assumptions'!$G369)</f>
        <v>0</v>
      </c>
      <c r="AN67" s="21">
        <f>AB67*(1+'2-Data Input &amp; Assumptions'!$G369)</f>
        <v>0</v>
      </c>
      <c r="AQ67" s="8"/>
      <c r="AR67" s="8"/>
      <c r="AS67" s="8"/>
    </row>
    <row r="68" spans="2:45" x14ac:dyDescent="0.3">
      <c r="B68" s="19"/>
      <c r="C68" s="12"/>
      <c r="D68" s="20" t="str">
        <f>'2-Data Input &amp; Assumptions'!A30</f>
        <v>OTHER SOURCES</v>
      </c>
      <c r="E68" s="21">
        <f>'2-Data Input &amp; Assumptions'!C233/1000</f>
        <v>0</v>
      </c>
      <c r="F68" s="21">
        <f>'2-Data Input &amp; Assumptions'!D233/1000</f>
        <v>0</v>
      </c>
      <c r="G68" s="21">
        <f>'2-Data Input &amp; Assumptions'!E233/1000</f>
        <v>0</v>
      </c>
      <c r="H68" s="21">
        <f>'2-Data Input &amp; Assumptions'!F233/1000</f>
        <v>0</v>
      </c>
      <c r="I68" s="21">
        <f>'2-Data Input &amp; Assumptions'!G233/1000</f>
        <v>0</v>
      </c>
      <c r="J68" s="21">
        <f>'2-Data Input &amp; Assumptions'!H233/1000</f>
        <v>0</v>
      </c>
      <c r="K68" s="21">
        <f>'2-Data Input &amp; Assumptions'!I233/1000</f>
        <v>0</v>
      </c>
      <c r="L68" s="21">
        <f>'2-Data Input &amp; Assumptions'!J233/1000</f>
        <v>0</v>
      </c>
      <c r="M68" s="21">
        <f>'2-Data Input &amp; Assumptions'!K233/1000</f>
        <v>0</v>
      </c>
      <c r="N68" s="21">
        <f>'2-Data Input &amp; Assumptions'!L233/1000</f>
        <v>0</v>
      </c>
      <c r="O68" s="21">
        <f>'2-Data Input &amp; Assumptions'!M233/1000</f>
        <v>0</v>
      </c>
      <c r="P68" s="86">
        <f>'2-Data Input &amp; Assumptions'!N233/1000</f>
        <v>0</v>
      </c>
      <c r="Q68" s="21">
        <f>'2-Data Input &amp; Assumptions'!C302/1000</f>
        <v>0</v>
      </c>
      <c r="R68" s="21">
        <f>'2-Data Input &amp; Assumptions'!D302/1000</f>
        <v>0</v>
      </c>
      <c r="S68" s="21">
        <f>'2-Data Input &amp; Assumptions'!E302/1000</f>
        <v>0</v>
      </c>
      <c r="T68" s="21">
        <f>'2-Data Input &amp; Assumptions'!F302/1000</f>
        <v>0</v>
      </c>
      <c r="U68" s="21">
        <f>'2-Data Input &amp; Assumptions'!G302/1000</f>
        <v>0</v>
      </c>
      <c r="V68" s="21">
        <f>'2-Data Input &amp; Assumptions'!H302/1000</f>
        <v>0</v>
      </c>
      <c r="W68" s="21">
        <f>'2-Data Input &amp; Assumptions'!I302/1000</f>
        <v>0</v>
      </c>
      <c r="X68" s="21">
        <f>'2-Data Input &amp; Assumptions'!J302/1000</f>
        <v>0</v>
      </c>
      <c r="Y68" s="21">
        <f>'2-Data Input &amp; Assumptions'!K302/1000</f>
        <v>0</v>
      </c>
      <c r="Z68" s="21">
        <f>'2-Data Input &amp; Assumptions'!L302/1000</f>
        <v>0</v>
      </c>
      <c r="AA68" s="21">
        <f>'2-Data Input &amp; Assumptions'!M302/1000</f>
        <v>0</v>
      </c>
      <c r="AB68" s="86">
        <f>'2-Data Input &amp; Assumptions'!N302/1000</f>
        <v>0</v>
      </c>
      <c r="AC68" s="21">
        <f>Q68*(1+'2-Data Input &amp; Assumptions'!$G370)</f>
        <v>0</v>
      </c>
      <c r="AD68" s="21">
        <f>R68*(1+'2-Data Input &amp; Assumptions'!$G370)</f>
        <v>0</v>
      </c>
      <c r="AE68" s="21">
        <f>S68*(1+'2-Data Input &amp; Assumptions'!$G370)</f>
        <v>0</v>
      </c>
      <c r="AF68" s="21">
        <f>T68*(1+'2-Data Input &amp; Assumptions'!$G370)</f>
        <v>0</v>
      </c>
      <c r="AG68" s="21">
        <f>U68*(1+'2-Data Input &amp; Assumptions'!$G370)</f>
        <v>0</v>
      </c>
      <c r="AH68" s="21">
        <f>V68*(1+'2-Data Input &amp; Assumptions'!$G370)</f>
        <v>0</v>
      </c>
      <c r="AI68" s="21">
        <f>W68*(1+'2-Data Input &amp; Assumptions'!$G370)</f>
        <v>0</v>
      </c>
      <c r="AJ68" s="21">
        <f>X68*(1+'2-Data Input &amp; Assumptions'!$G370)</f>
        <v>0</v>
      </c>
      <c r="AK68" s="21">
        <f>Y68*(1+'2-Data Input &amp; Assumptions'!$G370)</f>
        <v>0</v>
      </c>
      <c r="AL68" s="21">
        <f>Z68*(1+'2-Data Input &amp; Assumptions'!$G370)</f>
        <v>0</v>
      </c>
      <c r="AM68" s="21">
        <f>AA68*(1+'2-Data Input &amp; Assumptions'!$G370)</f>
        <v>0</v>
      </c>
      <c r="AN68" s="21">
        <f>AB68*(1+'2-Data Input &amp; Assumptions'!$G370)</f>
        <v>0</v>
      </c>
      <c r="AQ68" s="8"/>
      <c r="AR68" s="8"/>
      <c r="AS68" s="8"/>
    </row>
    <row r="69" spans="2:45" x14ac:dyDescent="0.3">
      <c r="B69" s="19"/>
      <c r="C69" s="12"/>
      <c r="D69" s="20" t="str">
        <f>'2-Data Input &amp; Assumptions'!A31</f>
        <v>OTHER SOURCES</v>
      </c>
      <c r="E69" s="21">
        <f>'2-Data Input &amp; Assumptions'!C234/1000</f>
        <v>0</v>
      </c>
      <c r="F69" s="21">
        <f>'2-Data Input &amp; Assumptions'!D234/1000</f>
        <v>0</v>
      </c>
      <c r="G69" s="21">
        <f>'2-Data Input &amp; Assumptions'!E234/1000</f>
        <v>0</v>
      </c>
      <c r="H69" s="21">
        <f>'2-Data Input &amp; Assumptions'!F234/1000</f>
        <v>0</v>
      </c>
      <c r="I69" s="21">
        <f>'2-Data Input &amp; Assumptions'!G234/1000</f>
        <v>0</v>
      </c>
      <c r="J69" s="21">
        <f>'2-Data Input &amp; Assumptions'!H234/1000</f>
        <v>0</v>
      </c>
      <c r="K69" s="21">
        <f>'2-Data Input &amp; Assumptions'!I234/1000</f>
        <v>0</v>
      </c>
      <c r="L69" s="21">
        <f>'2-Data Input &amp; Assumptions'!J234/1000</f>
        <v>0</v>
      </c>
      <c r="M69" s="21">
        <f>'2-Data Input &amp; Assumptions'!K234/1000</f>
        <v>0</v>
      </c>
      <c r="N69" s="21">
        <f>'2-Data Input &amp; Assumptions'!L234/1000</f>
        <v>0</v>
      </c>
      <c r="O69" s="21">
        <f>'2-Data Input &amp; Assumptions'!M234/1000</f>
        <v>0</v>
      </c>
      <c r="P69" s="86">
        <f>'2-Data Input &amp; Assumptions'!N234/1000</f>
        <v>0</v>
      </c>
      <c r="Q69" s="21">
        <f>'2-Data Input &amp; Assumptions'!C303/1000</f>
        <v>0</v>
      </c>
      <c r="R69" s="21">
        <f>'2-Data Input &amp; Assumptions'!D303/1000</f>
        <v>0</v>
      </c>
      <c r="S69" s="21">
        <f>'2-Data Input &amp; Assumptions'!E303/1000</f>
        <v>0</v>
      </c>
      <c r="T69" s="21">
        <f>'2-Data Input &amp; Assumptions'!F303/1000</f>
        <v>0</v>
      </c>
      <c r="U69" s="21">
        <f>'2-Data Input &amp; Assumptions'!G303/1000</f>
        <v>0</v>
      </c>
      <c r="V69" s="21">
        <f>'2-Data Input &amp; Assumptions'!H303/1000</f>
        <v>0</v>
      </c>
      <c r="W69" s="21">
        <f>'2-Data Input &amp; Assumptions'!I303/1000</f>
        <v>0</v>
      </c>
      <c r="X69" s="21">
        <f>'2-Data Input &amp; Assumptions'!J303/1000</f>
        <v>0</v>
      </c>
      <c r="Y69" s="21">
        <f>'2-Data Input &amp; Assumptions'!K303/1000</f>
        <v>0</v>
      </c>
      <c r="Z69" s="21">
        <f>'2-Data Input &amp; Assumptions'!L303/1000</f>
        <v>0</v>
      </c>
      <c r="AA69" s="21">
        <f>'2-Data Input &amp; Assumptions'!M303/1000</f>
        <v>0</v>
      </c>
      <c r="AB69" s="86">
        <f>'2-Data Input &amp; Assumptions'!N303/1000</f>
        <v>0</v>
      </c>
      <c r="AC69" s="21">
        <f>Q69*(1+'2-Data Input &amp; Assumptions'!$G371)</f>
        <v>0</v>
      </c>
      <c r="AD69" s="21">
        <f>R69*(1+'2-Data Input &amp; Assumptions'!$G371)</f>
        <v>0</v>
      </c>
      <c r="AE69" s="21">
        <f>S69*(1+'2-Data Input &amp; Assumptions'!$G371)</f>
        <v>0</v>
      </c>
      <c r="AF69" s="21">
        <f>T69*(1+'2-Data Input &amp; Assumptions'!$G371)</f>
        <v>0</v>
      </c>
      <c r="AG69" s="21">
        <f>U69*(1+'2-Data Input &amp; Assumptions'!$G371)</f>
        <v>0</v>
      </c>
      <c r="AH69" s="21">
        <f>V69*(1+'2-Data Input &amp; Assumptions'!$G371)</f>
        <v>0</v>
      </c>
      <c r="AI69" s="21">
        <f>W69*(1+'2-Data Input &amp; Assumptions'!$G371)</f>
        <v>0</v>
      </c>
      <c r="AJ69" s="21">
        <f>X69*(1+'2-Data Input &amp; Assumptions'!$G371)</f>
        <v>0</v>
      </c>
      <c r="AK69" s="21">
        <f>Y69*(1+'2-Data Input &amp; Assumptions'!$G371)</f>
        <v>0</v>
      </c>
      <c r="AL69" s="21">
        <f>Z69*(1+'2-Data Input &amp; Assumptions'!$G371)</f>
        <v>0</v>
      </c>
      <c r="AM69" s="21">
        <f>AA69*(1+'2-Data Input &amp; Assumptions'!$G371)</f>
        <v>0</v>
      </c>
      <c r="AN69" s="21">
        <f>AB69*(1+'2-Data Input &amp; Assumptions'!$G371)</f>
        <v>0</v>
      </c>
      <c r="AQ69" s="8"/>
      <c r="AR69" s="8"/>
      <c r="AS69" s="8"/>
    </row>
    <row r="70" spans="2:45" x14ac:dyDescent="0.3">
      <c r="B70" s="19"/>
      <c r="C70" s="12"/>
      <c r="D70" s="20" t="str">
        <f>'2-Data Input &amp; Assumptions'!A32</f>
        <v>OTHER SOURCES</v>
      </c>
      <c r="E70" s="21">
        <f>'2-Data Input &amp; Assumptions'!C235/1000</f>
        <v>0</v>
      </c>
      <c r="F70" s="21">
        <f>'2-Data Input &amp; Assumptions'!D235/1000</f>
        <v>0</v>
      </c>
      <c r="G70" s="21">
        <f>'2-Data Input &amp; Assumptions'!E235/1000</f>
        <v>0</v>
      </c>
      <c r="H70" s="21">
        <f>'2-Data Input &amp; Assumptions'!F235/1000</f>
        <v>0</v>
      </c>
      <c r="I70" s="21">
        <f>'2-Data Input &amp; Assumptions'!G235/1000</f>
        <v>0</v>
      </c>
      <c r="J70" s="21">
        <f>'2-Data Input &amp; Assumptions'!H235/1000</f>
        <v>0</v>
      </c>
      <c r="K70" s="21">
        <f>'2-Data Input &amp; Assumptions'!I235/1000</f>
        <v>0</v>
      </c>
      <c r="L70" s="21">
        <f>'2-Data Input &amp; Assumptions'!J235/1000</f>
        <v>0</v>
      </c>
      <c r="M70" s="21">
        <f>'2-Data Input &amp; Assumptions'!K235/1000</f>
        <v>0</v>
      </c>
      <c r="N70" s="21">
        <f>'2-Data Input &amp; Assumptions'!L235/1000</f>
        <v>0</v>
      </c>
      <c r="O70" s="21">
        <f>'2-Data Input &amp; Assumptions'!M235/1000</f>
        <v>0</v>
      </c>
      <c r="P70" s="86">
        <f>'2-Data Input &amp; Assumptions'!N235/1000</f>
        <v>0</v>
      </c>
      <c r="Q70" s="21">
        <f>'2-Data Input &amp; Assumptions'!C304/1000</f>
        <v>0</v>
      </c>
      <c r="R70" s="21">
        <f>'2-Data Input &amp; Assumptions'!D304/1000</f>
        <v>0</v>
      </c>
      <c r="S70" s="21">
        <f>'2-Data Input &amp; Assumptions'!E304/1000</f>
        <v>0</v>
      </c>
      <c r="T70" s="21">
        <f>'2-Data Input &amp; Assumptions'!F304/1000</f>
        <v>0</v>
      </c>
      <c r="U70" s="21">
        <f>'2-Data Input &amp; Assumptions'!G304/1000</f>
        <v>0</v>
      </c>
      <c r="V70" s="21">
        <f>'2-Data Input &amp; Assumptions'!H304/1000</f>
        <v>0</v>
      </c>
      <c r="W70" s="21">
        <f>'2-Data Input &amp; Assumptions'!I304/1000</f>
        <v>0</v>
      </c>
      <c r="X70" s="21">
        <f>'2-Data Input &amp; Assumptions'!J304/1000</f>
        <v>0</v>
      </c>
      <c r="Y70" s="21">
        <f>'2-Data Input &amp; Assumptions'!K304/1000</f>
        <v>0</v>
      </c>
      <c r="Z70" s="21">
        <f>'2-Data Input &amp; Assumptions'!L304/1000</f>
        <v>0</v>
      </c>
      <c r="AA70" s="21">
        <f>'2-Data Input &amp; Assumptions'!M304/1000</f>
        <v>0</v>
      </c>
      <c r="AB70" s="86">
        <f>'2-Data Input &amp; Assumptions'!N304/1000</f>
        <v>0</v>
      </c>
      <c r="AC70" s="21">
        <f>Q70*(1+'2-Data Input &amp; Assumptions'!$G372)</f>
        <v>0</v>
      </c>
      <c r="AD70" s="21">
        <f>R70*(1+'2-Data Input &amp; Assumptions'!$G372)</f>
        <v>0</v>
      </c>
      <c r="AE70" s="21">
        <f>S70*(1+'2-Data Input &amp; Assumptions'!$G372)</f>
        <v>0</v>
      </c>
      <c r="AF70" s="21">
        <f>T70*(1+'2-Data Input &amp; Assumptions'!$G372)</f>
        <v>0</v>
      </c>
      <c r="AG70" s="21">
        <f>U70*(1+'2-Data Input &amp; Assumptions'!$G372)</f>
        <v>0</v>
      </c>
      <c r="AH70" s="21">
        <f>V70*(1+'2-Data Input &amp; Assumptions'!$G372)</f>
        <v>0</v>
      </c>
      <c r="AI70" s="21">
        <f>W70*(1+'2-Data Input &amp; Assumptions'!$G372)</f>
        <v>0</v>
      </c>
      <c r="AJ70" s="21">
        <f>X70*(1+'2-Data Input &amp; Assumptions'!$G372)</f>
        <v>0</v>
      </c>
      <c r="AK70" s="21">
        <f>Y70*(1+'2-Data Input &amp; Assumptions'!$G372)</f>
        <v>0</v>
      </c>
      <c r="AL70" s="21">
        <f>Z70*(1+'2-Data Input &amp; Assumptions'!$G372)</f>
        <v>0</v>
      </c>
      <c r="AM70" s="21">
        <f>AA70*(1+'2-Data Input &amp; Assumptions'!$G372)</f>
        <v>0</v>
      </c>
      <c r="AN70" s="21">
        <f>AB70*(1+'2-Data Input &amp; Assumptions'!$G372)</f>
        <v>0</v>
      </c>
      <c r="AQ70" s="8"/>
      <c r="AR70" s="8"/>
      <c r="AS70" s="8"/>
    </row>
    <row r="71" spans="2:45" x14ac:dyDescent="0.3">
      <c r="B71" s="19"/>
      <c r="C71" s="12"/>
      <c r="D71" s="20" t="str">
        <f>'2-Data Input &amp; Assumptions'!A33</f>
        <v>OTHER SOURCES</v>
      </c>
      <c r="E71" s="21">
        <f>'2-Data Input &amp; Assumptions'!C236/1000</f>
        <v>0</v>
      </c>
      <c r="F71" s="21">
        <f>'2-Data Input &amp; Assumptions'!D236/1000</f>
        <v>0</v>
      </c>
      <c r="G71" s="21">
        <f>'2-Data Input &amp; Assumptions'!E236/1000</f>
        <v>0</v>
      </c>
      <c r="H71" s="21">
        <f>'2-Data Input &amp; Assumptions'!F236/1000</f>
        <v>0</v>
      </c>
      <c r="I71" s="21">
        <f>'2-Data Input &amp; Assumptions'!G236/1000</f>
        <v>0</v>
      </c>
      <c r="J71" s="21">
        <f>'2-Data Input &amp; Assumptions'!H236/1000</f>
        <v>0</v>
      </c>
      <c r="K71" s="21">
        <f>'2-Data Input &amp; Assumptions'!I236/1000</f>
        <v>0</v>
      </c>
      <c r="L71" s="21">
        <f>'2-Data Input &amp; Assumptions'!J236/1000</f>
        <v>0</v>
      </c>
      <c r="M71" s="21">
        <f>'2-Data Input &amp; Assumptions'!K236/1000</f>
        <v>0</v>
      </c>
      <c r="N71" s="21">
        <f>'2-Data Input &amp; Assumptions'!L236/1000</f>
        <v>0</v>
      </c>
      <c r="O71" s="21">
        <f>'2-Data Input &amp; Assumptions'!M236/1000</f>
        <v>0</v>
      </c>
      <c r="P71" s="86">
        <f>'2-Data Input &amp; Assumptions'!N236/1000</f>
        <v>0</v>
      </c>
      <c r="Q71" s="21">
        <f>'2-Data Input &amp; Assumptions'!C305/1000</f>
        <v>0</v>
      </c>
      <c r="R71" s="21">
        <f>'2-Data Input &amp; Assumptions'!D305/1000</f>
        <v>0</v>
      </c>
      <c r="S71" s="21">
        <f>'2-Data Input &amp; Assumptions'!E305/1000</f>
        <v>0</v>
      </c>
      <c r="T71" s="21">
        <f>'2-Data Input &amp; Assumptions'!F305/1000</f>
        <v>0</v>
      </c>
      <c r="U71" s="21">
        <f>'2-Data Input &amp; Assumptions'!G305/1000</f>
        <v>0</v>
      </c>
      <c r="V71" s="21">
        <f>'2-Data Input &amp; Assumptions'!H305/1000</f>
        <v>0</v>
      </c>
      <c r="W71" s="21">
        <f>'2-Data Input &amp; Assumptions'!I305/1000</f>
        <v>0</v>
      </c>
      <c r="X71" s="21">
        <f>'2-Data Input &amp; Assumptions'!J305/1000</f>
        <v>0</v>
      </c>
      <c r="Y71" s="21">
        <f>'2-Data Input &amp; Assumptions'!K305/1000</f>
        <v>0</v>
      </c>
      <c r="Z71" s="21">
        <f>'2-Data Input &amp; Assumptions'!L305/1000</f>
        <v>0</v>
      </c>
      <c r="AA71" s="21">
        <f>'2-Data Input &amp; Assumptions'!M305/1000</f>
        <v>0</v>
      </c>
      <c r="AB71" s="86">
        <f>'2-Data Input &amp; Assumptions'!N305/1000</f>
        <v>0</v>
      </c>
      <c r="AC71" s="21">
        <f>Q71*(1+'2-Data Input &amp; Assumptions'!$G373)</f>
        <v>0</v>
      </c>
      <c r="AD71" s="21">
        <f>R71*(1+'2-Data Input &amp; Assumptions'!$G373)</f>
        <v>0</v>
      </c>
      <c r="AE71" s="21">
        <f>S71*(1+'2-Data Input &amp; Assumptions'!$G373)</f>
        <v>0</v>
      </c>
      <c r="AF71" s="21">
        <f>T71*(1+'2-Data Input &amp; Assumptions'!$G373)</f>
        <v>0</v>
      </c>
      <c r="AG71" s="21">
        <f>U71*(1+'2-Data Input &amp; Assumptions'!$G373)</f>
        <v>0</v>
      </c>
      <c r="AH71" s="21">
        <f>V71*(1+'2-Data Input &amp; Assumptions'!$G373)</f>
        <v>0</v>
      </c>
      <c r="AI71" s="21">
        <f>W71*(1+'2-Data Input &amp; Assumptions'!$G373)</f>
        <v>0</v>
      </c>
      <c r="AJ71" s="21">
        <f>X71*(1+'2-Data Input &amp; Assumptions'!$G373)</f>
        <v>0</v>
      </c>
      <c r="AK71" s="21">
        <f>Y71*(1+'2-Data Input &amp; Assumptions'!$G373)</f>
        <v>0</v>
      </c>
      <c r="AL71" s="21">
        <f>Z71*(1+'2-Data Input &amp; Assumptions'!$G373)</f>
        <v>0</v>
      </c>
      <c r="AM71" s="21">
        <f>AA71*(1+'2-Data Input &amp; Assumptions'!$G373)</f>
        <v>0</v>
      </c>
      <c r="AN71" s="21">
        <f>AB71*(1+'2-Data Input &amp; Assumptions'!$G373)</f>
        <v>0</v>
      </c>
      <c r="AQ71" s="8"/>
      <c r="AR71" s="8"/>
      <c r="AS71" s="8"/>
    </row>
    <row r="72" spans="2:45" x14ac:dyDescent="0.3">
      <c r="B72" s="19"/>
      <c r="C72" s="12"/>
      <c r="D72" s="20" t="str">
        <f>'2-Data Input &amp; Assumptions'!A34</f>
        <v>OTHER SOURCES</v>
      </c>
      <c r="E72" s="21">
        <f>'2-Data Input &amp; Assumptions'!C237/1000</f>
        <v>0</v>
      </c>
      <c r="F72" s="21">
        <f>'2-Data Input &amp; Assumptions'!D237/1000</f>
        <v>0</v>
      </c>
      <c r="G72" s="21">
        <f>'2-Data Input &amp; Assumptions'!E237/1000</f>
        <v>0</v>
      </c>
      <c r="H72" s="21">
        <f>'2-Data Input &amp; Assumptions'!F237/1000</f>
        <v>0</v>
      </c>
      <c r="I72" s="21">
        <f>'2-Data Input &amp; Assumptions'!G237/1000</f>
        <v>0</v>
      </c>
      <c r="J72" s="21">
        <f>'2-Data Input &amp; Assumptions'!H237/1000</f>
        <v>0</v>
      </c>
      <c r="K72" s="21">
        <f>'2-Data Input &amp; Assumptions'!I237/1000</f>
        <v>0</v>
      </c>
      <c r="L72" s="21">
        <f>'2-Data Input &amp; Assumptions'!J237/1000</f>
        <v>0</v>
      </c>
      <c r="M72" s="21">
        <f>'2-Data Input &amp; Assumptions'!K237/1000</f>
        <v>0</v>
      </c>
      <c r="N72" s="21">
        <f>'2-Data Input &amp; Assumptions'!L237/1000</f>
        <v>0</v>
      </c>
      <c r="O72" s="21">
        <f>'2-Data Input &amp; Assumptions'!M237/1000</f>
        <v>0</v>
      </c>
      <c r="P72" s="86">
        <f>'2-Data Input &amp; Assumptions'!N237/1000</f>
        <v>0</v>
      </c>
      <c r="Q72" s="21">
        <f>'2-Data Input &amp; Assumptions'!C306/1000</f>
        <v>0</v>
      </c>
      <c r="R72" s="21">
        <f>'2-Data Input &amp; Assumptions'!D306/1000</f>
        <v>0</v>
      </c>
      <c r="S72" s="21">
        <f>'2-Data Input &amp; Assumptions'!E306/1000</f>
        <v>0</v>
      </c>
      <c r="T72" s="21">
        <f>'2-Data Input &amp; Assumptions'!F306/1000</f>
        <v>0</v>
      </c>
      <c r="U72" s="21">
        <f>'2-Data Input &amp; Assumptions'!G306/1000</f>
        <v>0</v>
      </c>
      <c r="V72" s="21">
        <f>'2-Data Input &amp; Assumptions'!H306/1000</f>
        <v>0</v>
      </c>
      <c r="W72" s="21">
        <f>'2-Data Input &amp; Assumptions'!I306/1000</f>
        <v>0</v>
      </c>
      <c r="X72" s="21">
        <f>'2-Data Input &amp; Assumptions'!J306/1000</f>
        <v>0</v>
      </c>
      <c r="Y72" s="21">
        <f>'2-Data Input &amp; Assumptions'!K306/1000</f>
        <v>0</v>
      </c>
      <c r="Z72" s="21">
        <f>'2-Data Input &amp; Assumptions'!L306/1000</f>
        <v>0</v>
      </c>
      <c r="AA72" s="21">
        <f>'2-Data Input &amp; Assumptions'!M306/1000</f>
        <v>0</v>
      </c>
      <c r="AB72" s="86">
        <f>'2-Data Input &amp; Assumptions'!N306/1000</f>
        <v>0</v>
      </c>
      <c r="AC72" s="21">
        <f>Q72*(1+'2-Data Input &amp; Assumptions'!$G374)</f>
        <v>0</v>
      </c>
      <c r="AD72" s="21">
        <f>R72*(1+'2-Data Input &amp; Assumptions'!$G374)</f>
        <v>0</v>
      </c>
      <c r="AE72" s="21">
        <f>S72*(1+'2-Data Input &amp; Assumptions'!$G374)</f>
        <v>0</v>
      </c>
      <c r="AF72" s="21">
        <f>T72*(1+'2-Data Input &amp; Assumptions'!$G374)</f>
        <v>0</v>
      </c>
      <c r="AG72" s="21">
        <f>U72*(1+'2-Data Input &amp; Assumptions'!$G374)</f>
        <v>0</v>
      </c>
      <c r="AH72" s="21">
        <f>V72*(1+'2-Data Input &amp; Assumptions'!$G374)</f>
        <v>0</v>
      </c>
      <c r="AI72" s="21">
        <f>W72*(1+'2-Data Input &amp; Assumptions'!$G374)</f>
        <v>0</v>
      </c>
      <c r="AJ72" s="21">
        <f>X72*(1+'2-Data Input &amp; Assumptions'!$G374)</f>
        <v>0</v>
      </c>
      <c r="AK72" s="21">
        <f>Y72*(1+'2-Data Input &amp; Assumptions'!$G374)</f>
        <v>0</v>
      </c>
      <c r="AL72" s="21">
        <f>Z72*(1+'2-Data Input &amp; Assumptions'!$G374)</f>
        <v>0</v>
      </c>
      <c r="AM72" s="21">
        <f>AA72*(1+'2-Data Input &amp; Assumptions'!$G374)</f>
        <v>0</v>
      </c>
      <c r="AN72" s="21">
        <f>AB72*(1+'2-Data Input &amp; Assumptions'!$G374)</f>
        <v>0</v>
      </c>
      <c r="AQ72" s="8"/>
      <c r="AR72" s="8"/>
      <c r="AS72" s="8"/>
    </row>
    <row r="73" spans="2:45" x14ac:dyDescent="0.3">
      <c r="B73" s="19"/>
      <c r="C73" s="12"/>
      <c r="D73" s="20" t="str">
        <f>'2-Data Input &amp; Assumptions'!A35</f>
        <v>OTHER SOURCES</v>
      </c>
      <c r="E73" s="21">
        <f>'2-Data Input &amp; Assumptions'!C238/1000</f>
        <v>0</v>
      </c>
      <c r="F73" s="21">
        <f>'2-Data Input &amp; Assumptions'!D238/1000</f>
        <v>0</v>
      </c>
      <c r="G73" s="21">
        <f>'2-Data Input &amp; Assumptions'!E238/1000</f>
        <v>0</v>
      </c>
      <c r="H73" s="21">
        <f>'2-Data Input &amp; Assumptions'!F238/1000</f>
        <v>0</v>
      </c>
      <c r="I73" s="21">
        <f>'2-Data Input &amp; Assumptions'!G238/1000</f>
        <v>0</v>
      </c>
      <c r="J73" s="21">
        <f>'2-Data Input &amp; Assumptions'!H238/1000</f>
        <v>0</v>
      </c>
      <c r="K73" s="21">
        <f>'2-Data Input &amp; Assumptions'!I238/1000</f>
        <v>0</v>
      </c>
      <c r="L73" s="21">
        <f>'2-Data Input &amp; Assumptions'!J238/1000</f>
        <v>0</v>
      </c>
      <c r="M73" s="21">
        <f>'2-Data Input &amp; Assumptions'!K238/1000</f>
        <v>0</v>
      </c>
      <c r="N73" s="21">
        <f>'2-Data Input &amp; Assumptions'!L238/1000</f>
        <v>0</v>
      </c>
      <c r="O73" s="21">
        <f>'2-Data Input &amp; Assumptions'!M238/1000</f>
        <v>0</v>
      </c>
      <c r="P73" s="86">
        <f>'2-Data Input &amp; Assumptions'!N238/1000</f>
        <v>0</v>
      </c>
      <c r="Q73" s="21">
        <f>'2-Data Input &amp; Assumptions'!C307/1000</f>
        <v>0</v>
      </c>
      <c r="R73" s="21">
        <f>'2-Data Input &amp; Assumptions'!D307/1000</f>
        <v>0</v>
      </c>
      <c r="S73" s="21">
        <f>'2-Data Input &amp; Assumptions'!E307/1000</f>
        <v>0</v>
      </c>
      <c r="T73" s="21">
        <f>'2-Data Input &amp; Assumptions'!F307/1000</f>
        <v>0</v>
      </c>
      <c r="U73" s="21">
        <f>'2-Data Input &amp; Assumptions'!G307/1000</f>
        <v>0</v>
      </c>
      <c r="V73" s="21">
        <f>'2-Data Input &amp; Assumptions'!H307/1000</f>
        <v>0</v>
      </c>
      <c r="W73" s="21">
        <f>'2-Data Input &amp; Assumptions'!I307/1000</f>
        <v>0</v>
      </c>
      <c r="X73" s="21">
        <f>'2-Data Input &amp; Assumptions'!J307/1000</f>
        <v>0</v>
      </c>
      <c r="Y73" s="21">
        <f>'2-Data Input &amp; Assumptions'!K307/1000</f>
        <v>0</v>
      </c>
      <c r="Z73" s="21">
        <f>'2-Data Input &amp; Assumptions'!L307/1000</f>
        <v>0</v>
      </c>
      <c r="AA73" s="21">
        <f>'2-Data Input &amp; Assumptions'!M307/1000</f>
        <v>0</v>
      </c>
      <c r="AB73" s="86">
        <f>'2-Data Input &amp; Assumptions'!N307/1000</f>
        <v>0</v>
      </c>
      <c r="AC73" s="21">
        <f>Q73*(1+'2-Data Input &amp; Assumptions'!$G375)</f>
        <v>0</v>
      </c>
      <c r="AD73" s="21">
        <f>R73*(1+'2-Data Input &amp; Assumptions'!$G375)</f>
        <v>0</v>
      </c>
      <c r="AE73" s="21">
        <f>S73*(1+'2-Data Input &amp; Assumptions'!$G375)</f>
        <v>0</v>
      </c>
      <c r="AF73" s="21">
        <f>T73*(1+'2-Data Input &amp; Assumptions'!$G375)</f>
        <v>0</v>
      </c>
      <c r="AG73" s="21">
        <f>U73*(1+'2-Data Input &amp; Assumptions'!$G375)</f>
        <v>0</v>
      </c>
      <c r="AH73" s="21">
        <f>V73*(1+'2-Data Input &amp; Assumptions'!$G375)</f>
        <v>0</v>
      </c>
      <c r="AI73" s="21">
        <f>W73*(1+'2-Data Input &amp; Assumptions'!$G375)</f>
        <v>0</v>
      </c>
      <c r="AJ73" s="21">
        <f>X73*(1+'2-Data Input &amp; Assumptions'!$G375)</f>
        <v>0</v>
      </c>
      <c r="AK73" s="21">
        <f>Y73*(1+'2-Data Input &amp; Assumptions'!$G375)</f>
        <v>0</v>
      </c>
      <c r="AL73" s="21">
        <f>Z73*(1+'2-Data Input &amp; Assumptions'!$G375)</f>
        <v>0</v>
      </c>
      <c r="AM73" s="21">
        <f>AA73*(1+'2-Data Input &amp; Assumptions'!$G375)</f>
        <v>0</v>
      </c>
      <c r="AN73" s="21">
        <f>AB73*(1+'2-Data Input &amp; Assumptions'!$G375)</f>
        <v>0</v>
      </c>
      <c r="AQ73" s="8"/>
      <c r="AR73" s="8"/>
      <c r="AS73" s="8"/>
    </row>
    <row r="74" spans="2:45" x14ac:dyDescent="0.3">
      <c r="B74" s="19"/>
      <c r="C74" s="12"/>
      <c r="D74" s="20" t="str">
        <f>'2-Data Input &amp; Assumptions'!A36</f>
        <v>OTHER SOURCES</v>
      </c>
      <c r="E74" s="21">
        <f>'2-Data Input &amp; Assumptions'!C239/1000</f>
        <v>0</v>
      </c>
      <c r="F74" s="21">
        <f>'2-Data Input &amp; Assumptions'!D239/1000</f>
        <v>0</v>
      </c>
      <c r="G74" s="21">
        <f>'2-Data Input &amp; Assumptions'!E239/1000</f>
        <v>0</v>
      </c>
      <c r="H74" s="21">
        <f>'2-Data Input &amp; Assumptions'!F239/1000</f>
        <v>0</v>
      </c>
      <c r="I74" s="21">
        <f>'2-Data Input &amp; Assumptions'!G239/1000</f>
        <v>0</v>
      </c>
      <c r="J74" s="21">
        <f>'2-Data Input &amp; Assumptions'!H239/1000</f>
        <v>0</v>
      </c>
      <c r="K74" s="21">
        <f>'2-Data Input &amp; Assumptions'!I239/1000</f>
        <v>0</v>
      </c>
      <c r="L74" s="21">
        <f>'2-Data Input &amp; Assumptions'!J239/1000</f>
        <v>0</v>
      </c>
      <c r="M74" s="21">
        <f>'2-Data Input &amp; Assumptions'!K239/1000</f>
        <v>0</v>
      </c>
      <c r="N74" s="21">
        <f>'2-Data Input &amp; Assumptions'!L239/1000</f>
        <v>0</v>
      </c>
      <c r="O74" s="21">
        <f>'2-Data Input &amp; Assumptions'!M239/1000</f>
        <v>0</v>
      </c>
      <c r="P74" s="86">
        <f>'2-Data Input &amp; Assumptions'!N239/1000</f>
        <v>0</v>
      </c>
      <c r="Q74" s="21">
        <f>'2-Data Input &amp; Assumptions'!C308/1000</f>
        <v>0</v>
      </c>
      <c r="R74" s="21">
        <f>'2-Data Input &amp; Assumptions'!D308/1000</f>
        <v>0</v>
      </c>
      <c r="S74" s="21">
        <f>'2-Data Input &amp; Assumptions'!E308/1000</f>
        <v>0</v>
      </c>
      <c r="T74" s="21">
        <f>'2-Data Input &amp; Assumptions'!F308/1000</f>
        <v>0</v>
      </c>
      <c r="U74" s="21">
        <f>'2-Data Input &amp; Assumptions'!G308/1000</f>
        <v>0</v>
      </c>
      <c r="V74" s="21">
        <f>'2-Data Input &amp; Assumptions'!H308/1000</f>
        <v>0</v>
      </c>
      <c r="W74" s="21">
        <f>'2-Data Input &amp; Assumptions'!I308/1000</f>
        <v>0</v>
      </c>
      <c r="X74" s="21">
        <f>'2-Data Input &amp; Assumptions'!J308/1000</f>
        <v>0</v>
      </c>
      <c r="Y74" s="21">
        <f>'2-Data Input &amp; Assumptions'!K308/1000</f>
        <v>0</v>
      </c>
      <c r="Z74" s="21">
        <f>'2-Data Input &amp; Assumptions'!L308/1000</f>
        <v>0</v>
      </c>
      <c r="AA74" s="21">
        <f>'2-Data Input &amp; Assumptions'!M308/1000</f>
        <v>0</v>
      </c>
      <c r="AB74" s="86">
        <f>'2-Data Input &amp; Assumptions'!N308/1000</f>
        <v>0</v>
      </c>
      <c r="AC74" s="21">
        <f>Q74*(1+'2-Data Input &amp; Assumptions'!$G376)</f>
        <v>0</v>
      </c>
      <c r="AD74" s="21">
        <f>R74*(1+'2-Data Input &amp; Assumptions'!$G376)</f>
        <v>0</v>
      </c>
      <c r="AE74" s="21">
        <f>S74*(1+'2-Data Input &amp; Assumptions'!$G376)</f>
        <v>0</v>
      </c>
      <c r="AF74" s="21">
        <f>T74*(1+'2-Data Input &amp; Assumptions'!$G376)</f>
        <v>0</v>
      </c>
      <c r="AG74" s="21">
        <f>U74*(1+'2-Data Input &amp; Assumptions'!$G376)</f>
        <v>0</v>
      </c>
      <c r="AH74" s="21">
        <f>V74*(1+'2-Data Input &amp; Assumptions'!$G376)</f>
        <v>0</v>
      </c>
      <c r="AI74" s="21">
        <f>W74*(1+'2-Data Input &amp; Assumptions'!$G376)</f>
        <v>0</v>
      </c>
      <c r="AJ74" s="21">
        <f>X74*(1+'2-Data Input &amp; Assumptions'!$G376)</f>
        <v>0</v>
      </c>
      <c r="AK74" s="21">
        <f>Y74*(1+'2-Data Input &amp; Assumptions'!$G376)</f>
        <v>0</v>
      </c>
      <c r="AL74" s="21">
        <f>Z74*(1+'2-Data Input &amp; Assumptions'!$G376)</f>
        <v>0</v>
      </c>
      <c r="AM74" s="21">
        <f>AA74*(1+'2-Data Input &amp; Assumptions'!$G376)</f>
        <v>0</v>
      </c>
      <c r="AN74" s="21">
        <f>AB74*(1+'2-Data Input &amp; Assumptions'!$G376)</f>
        <v>0</v>
      </c>
      <c r="AQ74" s="8"/>
      <c r="AR74" s="8"/>
      <c r="AS74" s="8"/>
    </row>
    <row r="75" spans="2:45" x14ac:dyDescent="0.3">
      <c r="B75" s="19"/>
      <c r="C75" s="12"/>
      <c r="D75" s="20" t="str">
        <f>'2-Data Input &amp; Assumptions'!A37</f>
        <v>OTHER SOURCES</v>
      </c>
      <c r="E75" s="21">
        <f>'2-Data Input &amp; Assumptions'!C240/1000</f>
        <v>0</v>
      </c>
      <c r="F75" s="21">
        <f>'2-Data Input &amp; Assumptions'!D240/1000</f>
        <v>0</v>
      </c>
      <c r="G75" s="21">
        <f>'2-Data Input &amp; Assumptions'!E240/1000</f>
        <v>0</v>
      </c>
      <c r="H75" s="21">
        <f>'2-Data Input &amp; Assumptions'!F240/1000</f>
        <v>0</v>
      </c>
      <c r="I75" s="21">
        <f>'2-Data Input &amp; Assumptions'!G240/1000</f>
        <v>0</v>
      </c>
      <c r="J75" s="21">
        <f>'2-Data Input &amp; Assumptions'!H240/1000</f>
        <v>0</v>
      </c>
      <c r="K75" s="21">
        <f>'2-Data Input &amp; Assumptions'!I240/1000</f>
        <v>0</v>
      </c>
      <c r="L75" s="21">
        <f>'2-Data Input &amp; Assumptions'!J240/1000</f>
        <v>0</v>
      </c>
      <c r="M75" s="21">
        <f>'2-Data Input &amp; Assumptions'!K240/1000</f>
        <v>0</v>
      </c>
      <c r="N75" s="21">
        <f>'2-Data Input &amp; Assumptions'!L240/1000</f>
        <v>0</v>
      </c>
      <c r="O75" s="21">
        <f>'2-Data Input &amp; Assumptions'!M240/1000</f>
        <v>0</v>
      </c>
      <c r="P75" s="86">
        <f>'2-Data Input &amp; Assumptions'!N240/1000</f>
        <v>0</v>
      </c>
      <c r="Q75" s="21">
        <f>'2-Data Input &amp; Assumptions'!C309/1000</f>
        <v>0</v>
      </c>
      <c r="R75" s="21">
        <f>'2-Data Input &amp; Assumptions'!D309/1000</f>
        <v>0</v>
      </c>
      <c r="S75" s="21">
        <f>'2-Data Input &amp; Assumptions'!E309/1000</f>
        <v>0</v>
      </c>
      <c r="T75" s="21">
        <f>'2-Data Input &amp; Assumptions'!F309/1000</f>
        <v>0</v>
      </c>
      <c r="U75" s="21">
        <f>'2-Data Input &amp; Assumptions'!G309/1000</f>
        <v>0</v>
      </c>
      <c r="V75" s="21">
        <f>'2-Data Input &amp; Assumptions'!H309/1000</f>
        <v>0</v>
      </c>
      <c r="W75" s="21">
        <f>'2-Data Input &amp; Assumptions'!I309/1000</f>
        <v>0</v>
      </c>
      <c r="X75" s="21">
        <f>'2-Data Input &amp; Assumptions'!J309/1000</f>
        <v>0</v>
      </c>
      <c r="Y75" s="21">
        <f>'2-Data Input &amp; Assumptions'!K309/1000</f>
        <v>0</v>
      </c>
      <c r="Z75" s="21">
        <f>'2-Data Input &amp; Assumptions'!L309/1000</f>
        <v>0</v>
      </c>
      <c r="AA75" s="21">
        <f>'2-Data Input &amp; Assumptions'!M309/1000</f>
        <v>0</v>
      </c>
      <c r="AB75" s="86">
        <f>'2-Data Input &amp; Assumptions'!N309/1000</f>
        <v>0</v>
      </c>
      <c r="AC75" s="21">
        <f>Q75*(1+'2-Data Input &amp; Assumptions'!$G377)</f>
        <v>0</v>
      </c>
      <c r="AD75" s="21">
        <f>R75*(1+'2-Data Input &amp; Assumptions'!$G377)</f>
        <v>0</v>
      </c>
      <c r="AE75" s="21">
        <f>S75*(1+'2-Data Input &amp; Assumptions'!$G377)</f>
        <v>0</v>
      </c>
      <c r="AF75" s="21">
        <f>T75*(1+'2-Data Input &amp; Assumptions'!$G377)</f>
        <v>0</v>
      </c>
      <c r="AG75" s="21">
        <f>U75*(1+'2-Data Input &amp; Assumptions'!$G377)</f>
        <v>0</v>
      </c>
      <c r="AH75" s="21">
        <f>V75*(1+'2-Data Input &amp; Assumptions'!$G377)</f>
        <v>0</v>
      </c>
      <c r="AI75" s="21">
        <f>W75*(1+'2-Data Input &amp; Assumptions'!$G377)</f>
        <v>0</v>
      </c>
      <c r="AJ75" s="21">
        <f>X75*(1+'2-Data Input &amp; Assumptions'!$G377)</f>
        <v>0</v>
      </c>
      <c r="AK75" s="21">
        <f>Y75*(1+'2-Data Input &amp; Assumptions'!$G377)</f>
        <v>0</v>
      </c>
      <c r="AL75" s="21">
        <f>Z75*(1+'2-Data Input &amp; Assumptions'!$G377)</f>
        <v>0</v>
      </c>
      <c r="AM75" s="21">
        <f>AA75*(1+'2-Data Input &amp; Assumptions'!$G377)</f>
        <v>0</v>
      </c>
      <c r="AN75" s="21">
        <f>AB75*(1+'2-Data Input &amp; Assumptions'!$G377)</f>
        <v>0</v>
      </c>
      <c r="AQ75" s="8"/>
      <c r="AR75" s="8"/>
      <c r="AS75" s="8"/>
    </row>
    <row r="76" spans="2:45" x14ac:dyDescent="0.3">
      <c r="B76" s="19"/>
      <c r="C76" s="12"/>
      <c r="D76" s="20" t="str">
        <f>'2-Data Input &amp; Assumptions'!A38</f>
        <v>OTHER SOURCES</v>
      </c>
      <c r="E76" s="21">
        <f>'2-Data Input &amp; Assumptions'!C241/1000</f>
        <v>0</v>
      </c>
      <c r="F76" s="21">
        <f>'2-Data Input &amp; Assumptions'!D241/1000</f>
        <v>0</v>
      </c>
      <c r="G76" s="21">
        <f>'2-Data Input &amp; Assumptions'!E241/1000</f>
        <v>0</v>
      </c>
      <c r="H76" s="21">
        <f>'2-Data Input &amp; Assumptions'!F241/1000</f>
        <v>0</v>
      </c>
      <c r="I76" s="21">
        <f>'2-Data Input &amp; Assumptions'!G241/1000</f>
        <v>0</v>
      </c>
      <c r="J76" s="21">
        <f>'2-Data Input &amp; Assumptions'!H241/1000</f>
        <v>0</v>
      </c>
      <c r="K76" s="21">
        <f>'2-Data Input &amp; Assumptions'!I241/1000</f>
        <v>0</v>
      </c>
      <c r="L76" s="21">
        <f>'2-Data Input &amp; Assumptions'!J241/1000</f>
        <v>0</v>
      </c>
      <c r="M76" s="21">
        <f>'2-Data Input &amp; Assumptions'!K241/1000</f>
        <v>0</v>
      </c>
      <c r="N76" s="21">
        <f>'2-Data Input &amp; Assumptions'!L241/1000</f>
        <v>0</v>
      </c>
      <c r="O76" s="21">
        <f>'2-Data Input &amp; Assumptions'!M241/1000</f>
        <v>0</v>
      </c>
      <c r="P76" s="86">
        <f>'2-Data Input &amp; Assumptions'!N241/1000</f>
        <v>0</v>
      </c>
      <c r="Q76" s="21">
        <f>'2-Data Input &amp; Assumptions'!C310/1000</f>
        <v>0</v>
      </c>
      <c r="R76" s="21">
        <f>'2-Data Input &amp; Assumptions'!D310/1000</f>
        <v>0</v>
      </c>
      <c r="S76" s="21">
        <f>'2-Data Input &amp; Assumptions'!E310/1000</f>
        <v>0</v>
      </c>
      <c r="T76" s="21">
        <f>'2-Data Input &amp; Assumptions'!F310/1000</f>
        <v>0</v>
      </c>
      <c r="U76" s="21">
        <f>'2-Data Input &amp; Assumptions'!G310/1000</f>
        <v>0</v>
      </c>
      <c r="V76" s="21">
        <f>'2-Data Input &amp; Assumptions'!H310/1000</f>
        <v>0</v>
      </c>
      <c r="W76" s="21">
        <f>'2-Data Input &amp; Assumptions'!I310/1000</f>
        <v>0</v>
      </c>
      <c r="X76" s="21">
        <f>'2-Data Input &amp; Assumptions'!J310/1000</f>
        <v>0</v>
      </c>
      <c r="Y76" s="21">
        <f>'2-Data Input &amp; Assumptions'!K310/1000</f>
        <v>0</v>
      </c>
      <c r="Z76" s="21">
        <f>'2-Data Input &amp; Assumptions'!L310/1000</f>
        <v>0</v>
      </c>
      <c r="AA76" s="21">
        <f>'2-Data Input &amp; Assumptions'!M310/1000</f>
        <v>0</v>
      </c>
      <c r="AB76" s="86">
        <f>'2-Data Input &amp; Assumptions'!N310/1000</f>
        <v>0</v>
      </c>
      <c r="AC76" s="21">
        <f>Q76*(1+'2-Data Input &amp; Assumptions'!$G378)</f>
        <v>0</v>
      </c>
      <c r="AD76" s="21">
        <f>R76*(1+'2-Data Input &amp; Assumptions'!$G378)</f>
        <v>0</v>
      </c>
      <c r="AE76" s="21">
        <f>S76*(1+'2-Data Input &amp; Assumptions'!$G378)</f>
        <v>0</v>
      </c>
      <c r="AF76" s="21">
        <f>T76*(1+'2-Data Input &amp; Assumptions'!$G378)</f>
        <v>0</v>
      </c>
      <c r="AG76" s="21">
        <f>U76*(1+'2-Data Input &amp; Assumptions'!$G378)</f>
        <v>0</v>
      </c>
      <c r="AH76" s="21">
        <f>V76*(1+'2-Data Input &amp; Assumptions'!$G378)</f>
        <v>0</v>
      </c>
      <c r="AI76" s="21">
        <f>W76*(1+'2-Data Input &amp; Assumptions'!$G378)</f>
        <v>0</v>
      </c>
      <c r="AJ76" s="21">
        <f>X76*(1+'2-Data Input &amp; Assumptions'!$G378)</f>
        <v>0</v>
      </c>
      <c r="AK76" s="21">
        <f>Y76*(1+'2-Data Input &amp; Assumptions'!$G378)</f>
        <v>0</v>
      </c>
      <c r="AL76" s="21">
        <f>Z76*(1+'2-Data Input &amp; Assumptions'!$G378)</f>
        <v>0</v>
      </c>
      <c r="AM76" s="21">
        <f>AA76*(1+'2-Data Input &amp; Assumptions'!$G378)</f>
        <v>0</v>
      </c>
      <c r="AN76" s="21">
        <f>AB76*(1+'2-Data Input &amp; Assumptions'!$G378)</f>
        <v>0</v>
      </c>
      <c r="AQ76" s="8"/>
      <c r="AR76" s="8"/>
      <c r="AS76" s="8"/>
    </row>
    <row r="77" spans="2:45" ht="15" thickBot="1" x14ac:dyDescent="0.35">
      <c r="B77" s="22"/>
      <c r="C77" s="23"/>
      <c r="D77" s="24" t="s">
        <v>4</v>
      </c>
      <c r="E77" s="25">
        <f t="shared" ref="E77:AN77" si="20">SUM(E47:E76)</f>
        <v>46172.302999999993</v>
      </c>
      <c r="F77" s="25">
        <f t="shared" si="20"/>
        <v>43958.087999999996</v>
      </c>
      <c r="G77" s="25">
        <f t="shared" si="20"/>
        <v>28151.247000000003</v>
      </c>
      <c r="H77" s="25">
        <f t="shared" si="20"/>
        <v>136993.61700000003</v>
      </c>
      <c r="I77" s="25">
        <f t="shared" si="20"/>
        <v>183176.21800000002</v>
      </c>
      <c r="J77" s="25">
        <f t="shared" si="20"/>
        <v>88699.588000000018</v>
      </c>
      <c r="K77" s="25">
        <f t="shared" si="20"/>
        <v>35041.089</v>
      </c>
      <c r="L77" s="25">
        <f t="shared" si="20"/>
        <v>33514.455000000002</v>
      </c>
      <c r="M77" s="25">
        <f t="shared" si="20"/>
        <v>71247.05799999999</v>
      </c>
      <c r="N77" s="25">
        <f t="shared" si="20"/>
        <v>218305.36200000002</v>
      </c>
      <c r="O77" s="25">
        <f t="shared" si="20"/>
        <v>76258.753000000012</v>
      </c>
      <c r="P77" s="87">
        <f t="shared" si="20"/>
        <v>29948.078999999998</v>
      </c>
      <c r="Q77" s="25">
        <f t="shared" si="20"/>
        <v>29985.359398265711</v>
      </c>
      <c r="R77" s="25">
        <f t="shared" si="20"/>
        <v>42945.382275923308</v>
      </c>
      <c r="S77" s="25">
        <f t="shared" si="20"/>
        <v>40183.520940201604</v>
      </c>
      <c r="T77" s="25">
        <f t="shared" si="20"/>
        <v>137277.75957263735</v>
      </c>
      <c r="U77" s="25">
        <f t="shared" si="20"/>
        <v>177595.61009977982</v>
      </c>
      <c r="V77" s="25">
        <f t="shared" si="20"/>
        <v>80689.545049128705</v>
      </c>
      <c r="W77" s="25">
        <f t="shared" si="20"/>
        <v>41445.164766825575</v>
      </c>
      <c r="X77" s="25">
        <f t="shared" si="20"/>
        <v>32343.842128982302</v>
      </c>
      <c r="Y77" s="25">
        <f t="shared" si="20"/>
        <v>63207.265981690092</v>
      </c>
      <c r="Z77" s="25">
        <f t="shared" si="20"/>
        <v>210786.61995742455</v>
      </c>
      <c r="AA77" s="25">
        <f t="shared" si="20"/>
        <v>86115.779723207583</v>
      </c>
      <c r="AB77" s="87">
        <f t="shared" si="20"/>
        <v>40088.219245933346</v>
      </c>
      <c r="AC77" s="25">
        <f t="shared" si="20"/>
        <v>30221.362966266821</v>
      </c>
      <c r="AD77" s="25">
        <f t="shared" si="20"/>
        <v>43138.14336538627</v>
      </c>
      <c r="AE77" s="25">
        <f t="shared" si="20"/>
        <v>40593.331782589827</v>
      </c>
      <c r="AF77" s="25">
        <f t="shared" si="20"/>
        <v>141029.86084500875</v>
      </c>
      <c r="AG77" s="25">
        <f t="shared" si="20"/>
        <v>182372.73246788539</v>
      </c>
      <c r="AH77" s="25">
        <f t="shared" si="20"/>
        <v>81047.294399541133</v>
      </c>
      <c r="AI77" s="25">
        <f t="shared" si="20"/>
        <v>41890.22137339136</v>
      </c>
      <c r="AJ77" s="25">
        <f t="shared" si="20"/>
        <v>32663.681351204679</v>
      </c>
      <c r="AK77" s="25">
        <f t="shared" si="20"/>
        <v>64723.842640960502</v>
      </c>
      <c r="AL77" s="25">
        <f t="shared" si="20"/>
        <v>216721.46519231889</v>
      </c>
      <c r="AM77" s="25">
        <f t="shared" si="20"/>
        <v>86472.839940880847</v>
      </c>
      <c r="AN77" s="25">
        <f t="shared" si="20"/>
        <v>40406.275332765566</v>
      </c>
      <c r="AP77" s="8"/>
      <c r="AQ77" s="31"/>
      <c r="AR77" s="31"/>
      <c r="AS77" s="31"/>
    </row>
    <row r="78" spans="2:45" x14ac:dyDescent="0.3">
      <c r="B78" s="26"/>
      <c r="C78" s="16"/>
      <c r="D78" s="17" t="str">
        <f>'2-Data Input &amp; Assumptions'!A41</f>
        <v>SALARIES &amp; WAGES</v>
      </c>
      <c r="E78" s="18">
        <f>'2-Data Input &amp; Assumptions'!C244/1000</f>
        <v>9058.5969999999998</v>
      </c>
      <c r="F78" s="18">
        <f>'2-Data Input &amp; Assumptions'!D244/1000</f>
        <v>8998.1980000000003</v>
      </c>
      <c r="G78" s="18">
        <f>'2-Data Input &amp; Assumptions'!E244/1000</f>
        <v>8915.491</v>
      </c>
      <c r="H78" s="18">
        <f>'2-Data Input &amp; Assumptions'!F244/1000</f>
        <v>8915</v>
      </c>
      <c r="I78" s="18">
        <f>'2-Data Input &amp; Assumptions'!G244/1000</f>
        <v>13372.5</v>
      </c>
      <c r="J78" s="18">
        <f>'2-Data Input &amp; Assumptions'!H244/1000</f>
        <v>8915</v>
      </c>
      <c r="K78" s="18">
        <f>'2-Data Input &amp; Assumptions'!I244/1000</f>
        <v>8915</v>
      </c>
      <c r="L78" s="18">
        <f>'2-Data Input &amp; Assumptions'!J244/1000</f>
        <v>8915</v>
      </c>
      <c r="M78" s="18">
        <f>'2-Data Input &amp; Assumptions'!K244/1000</f>
        <v>8915</v>
      </c>
      <c r="N78" s="18">
        <f>'2-Data Input &amp; Assumptions'!L244/1000</f>
        <v>13372.5</v>
      </c>
      <c r="O78" s="18">
        <f>'2-Data Input &amp; Assumptions'!M244/1000</f>
        <v>8915</v>
      </c>
      <c r="P78" s="85">
        <f>'2-Data Input &amp; Assumptions'!N244/1000</f>
        <v>8915</v>
      </c>
      <c r="Q78" s="21">
        <f>'2-Data Input &amp; Assumptions'!C313/1000</f>
        <v>9328.2000000000007</v>
      </c>
      <c r="R78" s="21">
        <f>'2-Data Input &amp; Assumptions'!D313/1000</f>
        <v>9328.2000000000007</v>
      </c>
      <c r="S78" s="21">
        <f>'2-Data Input &amp; Assumptions'!E313/1000</f>
        <v>9328.2000000000007</v>
      </c>
      <c r="T78" s="21">
        <f>'2-Data Input &amp; Assumptions'!F313/1000</f>
        <v>9328.2000000000007</v>
      </c>
      <c r="U78" s="21">
        <f>'2-Data Input &amp; Assumptions'!G313/1000</f>
        <v>13992.3</v>
      </c>
      <c r="V78" s="21">
        <f>'2-Data Input &amp; Assumptions'!H313/1000</f>
        <v>9328.2000000000007</v>
      </c>
      <c r="W78" s="21">
        <f>'2-Data Input &amp; Assumptions'!I313/1000</f>
        <v>9328.2000000000007</v>
      </c>
      <c r="X78" s="21">
        <f>'2-Data Input &amp; Assumptions'!J313/1000</f>
        <v>9328.2000000000007</v>
      </c>
      <c r="Y78" s="21">
        <f>'2-Data Input &amp; Assumptions'!K313/1000</f>
        <v>9328.2000000000007</v>
      </c>
      <c r="Z78" s="21">
        <f>'2-Data Input &amp; Assumptions'!L313/1000</f>
        <v>13992.3</v>
      </c>
      <c r="AA78" s="21">
        <f>'2-Data Input &amp; Assumptions'!M313/1000</f>
        <v>9328.2000000000007</v>
      </c>
      <c r="AB78" s="86">
        <f>'2-Data Input &amp; Assumptions'!N313/1000</f>
        <v>9328.2000000000007</v>
      </c>
      <c r="AC78" s="21">
        <f>Q78*(1+'2-Data Input &amp; Assumptions'!$G381)</f>
        <v>9794.61</v>
      </c>
      <c r="AD78" s="21">
        <f>R78*(1+'2-Data Input &amp; Assumptions'!$G381)</f>
        <v>9794.61</v>
      </c>
      <c r="AE78" s="21">
        <f>S78*(1+'2-Data Input &amp; Assumptions'!$G381)</f>
        <v>9794.61</v>
      </c>
      <c r="AF78" s="21">
        <f>T78*(1+'2-Data Input &amp; Assumptions'!$G381)</f>
        <v>9794.61</v>
      </c>
      <c r="AG78" s="21">
        <f>U78*(1+'2-Data Input &amp; Assumptions'!$G381)</f>
        <v>14691.914999999999</v>
      </c>
      <c r="AH78" s="21">
        <f>V78*(1+'2-Data Input &amp; Assumptions'!$G381)</f>
        <v>9794.61</v>
      </c>
      <c r="AI78" s="21">
        <f>W78*(1+'2-Data Input &amp; Assumptions'!$G381)</f>
        <v>9794.61</v>
      </c>
      <c r="AJ78" s="21">
        <f>X78*(1+'2-Data Input &amp; Assumptions'!$G381)</f>
        <v>9794.61</v>
      </c>
      <c r="AK78" s="21">
        <f>Y78*(1+'2-Data Input &amp; Assumptions'!$G381)</f>
        <v>9794.61</v>
      </c>
      <c r="AL78" s="21">
        <f>Z78*(1+'2-Data Input &amp; Assumptions'!$G381)</f>
        <v>14691.914999999999</v>
      </c>
      <c r="AM78" s="21">
        <f>AA78*(1+'2-Data Input &amp; Assumptions'!$G381)</f>
        <v>9794.61</v>
      </c>
      <c r="AN78" s="21">
        <f>AB78*(1+'2-Data Input &amp; Assumptions'!$G381)</f>
        <v>9794.61</v>
      </c>
      <c r="AQ78" s="31"/>
      <c r="AR78" s="31"/>
      <c r="AS78" s="31"/>
    </row>
    <row r="79" spans="2:45" x14ac:dyDescent="0.3">
      <c r="B79" s="27"/>
      <c r="C79" s="12"/>
      <c r="D79" s="20" t="str">
        <f>'2-Data Input &amp; Assumptions'!A42</f>
        <v>BENEFITS</v>
      </c>
      <c r="E79" s="21">
        <f>'2-Data Input &amp; Assumptions'!C245/1000</f>
        <v>1852.7650000000001</v>
      </c>
      <c r="F79" s="21">
        <f>'2-Data Input &amp; Assumptions'!D245/1000</f>
        <v>1948.5119999999999</v>
      </c>
      <c r="G79" s="21">
        <f>'2-Data Input &amp; Assumptions'!E245/1000</f>
        <v>1888.644</v>
      </c>
      <c r="H79" s="21">
        <f>'2-Data Input &amp; Assumptions'!F245/1000</f>
        <v>1889</v>
      </c>
      <c r="I79" s="21">
        <f>'2-Data Input &amp; Assumptions'!G245/1000</f>
        <v>2833.5</v>
      </c>
      <c r="J79" s="21">
        <f>'2-Data Input &amp; Assumptions'!H245/1000</f>
        <v>1889</v>
      </c>
      <c r="K79" s="21">
        <f>'2-Data Input &amp; Assumptions'!I245/1000</f>
        <v>1889</v>
      </c>
      <c r="L79" s="21">
        <f>'2-Data Input &amp; Assumptions'!J245/1000</f>
        <v>1889</v>
      </c>
      <c r="M79" s="21">
        <f>'2-Data Input &amp; Assumptions'!K245/1000</f>
        <v>1889</v>
      </c>
      <c r="N79" s="21">
        <f>'2-Data Input &amp; Assumptions'!L245/1000</f>
        <v>2833.5</v>
      </c>
      <c r="O79" s="21">
        <f>'2-Data Input &amp; Assumptions'!M245/1000</f>
        <v>1889</v>
      </c>
      <c r="P79" s="86">
        <f>'2-Data Input &amp; Assumptions'!N245/1000</f>
        <v>1889</v>
      </c>
      <c r="Q79" s="21">
        <f>'2-Data Input &amp; Assumptions'!C314/1000</f>
        <v>1915.2</v>
      </c>
      <c r="R79" s="21">
        <f>'2-Data Input &amp; Assumptions'!D314/1000</f>
        <v>1915.2</v>
      </c>
      <c r="S79" s="21">
        <f>'2-Data Input &amp; Assumptions'!E314/1000</f>
        <v>1915.2</v>
      </c>
      <c r="T79" s="21">
        <f>'2-Data Input &amp; Assumptions'!F314/1000</f>
        <v>1915.2</v>
      </c>
      <c r="U79" s="21">
        <f>'2-Data Input &amp; Assumptions'!G314/1000</f>
        <v>2872.8</v>
      </c>
      <c r="V79" s="21">
        <f>'2-Data Input &amp; Assumptions'!H314/1000</f>
        <v>1915.2</v>
      </c>
      <c r="W79" s="21">
        <f>'2-Data Input &amp; Assumptions'!I314/1000</f>
        <v>1915.2</v>
      </c>
      <c r="X79" s="21">
        <f>'2-Data Input &amp; Assumptions'!J314/1000</f>
        <v>1915.2</v>
      </c>
      <c r="Y79" s="21">
        <f>'2-Data Input &amp; Assumptions'!K314/1000</f>
        <v>1915.2</v>
      </c>
      <c r="Z79" s="21">
        <f>'2-Data Input &amp; Assumptions'!L314/1000</f>
        <v>2872.8</v>
      </c>
      <c r="AA79" s="21">
        <f>'2-Data Input &amp; Assumptions'!M314/1000</f>
        <v>1915.2</v>
      </c>
      <c r="AB79" s="86">
        <f>'2-Data Input &amp; Assumptions'!N314/1000</f>
        <v>1915.2</v>
      </c>
      <c r="AC79" s="21">
        <f>Q79*(1+'2-Data Input &amp; Assumptions'!$G382)</f>
        <v>2010.96</v>
      </c>
      <c r="AD79" s="21">
        <f>R79*(1+'2-Data Input &amp; Assumptions'!$G382)</f>
        <v>2010.96</v>
      </c>
      <c r="AE79" s="21">
        <f>S79*(1+'2-Data Input &amp; Assumptions'!$G382)</f>
        <v>2010.96</v>
      </c>
      <c r="AF79" s="21">
        <f>T79*(1+'2-Data Input &amp; Assumptions'!$G382)</f>
        <v>2010.96</v>
      </c>
      <c r="AG79" s="21">
        <f>U79*(1+'2-Data Input &amp; Assumptions'!$G382)</f>
        <v>3016.4400000000005</v>
      </c>
      <c r="AH79" s="21">
        <f>V79*(1+'2-Data Input &amp; Assumptions'!$G382)</f>
        <v>2010.96</v>
      </c>
      <c r="AI79" s="21">
        <f>W79*(1+'2-Data Input &amp; Assumptions'!$G382)</f>
        <v>2010.96</v>
      </c>
      <c r="AJ79" s="21">
        <f>X79*(1+'2-Data Input &amp; Assumptions'!$G382)</f>
        <v>2010.96</v>
      </c>
      <c r="AK79" s="21">
        <f>Y79*(1+'2-Data Input &amp; Assumptions'!$G382)</f>
        <v>2010.96</v>
      </c>
      <c r="AL79" s="21">
        <f>Z79*(1+'2-Data Input &amp; Assumptions'!$G382)</f>
        <v>3016.4400000000005</v>
      </c>
      <c r="AM79" s="21">
        <f>AA79*(1+'2-Data Input &amp; Assumptions'!$G382)</f>
        <v>2010.96</v>
      </c>
      <c r="AN79" s="21">
        <f>AB79*(1+'2-Data Input &amp; Assumptions'!$G382)</f>
        <v>2010.96</v>
      </c>
      <c r="AQ79" s="31"/>
      <c r="AR79" s="31"/>
      <c r="AS79" s="31"/>
    </row>
    <row r="80" spans="2:45" x14ac:dyDescent="0.3">
      <c r="B80" s="27"/>
      <c r="C80" s="12"/>
      <c r="D80" s="20" t="str">
        <f>'2-Data Input &amp; Assumptions'!A43</f>
        <v>CONTRACTUAL SERVICES</v>
      </c>
      <c r="E80" s="21">
        <f>'2-Data Input &amp; Assumptions'!C246/1000</f>
        <v>19274.994999999999</v>
      </c>
      <c r="F80" s="21">
        <f>'2-Data Input &amp; Assumptions'!D246/1000</f>
        <v>19291.907999999999</v>
      </c>
      <c r="G80" s="21">
        <f>'2-Data Input &amp; Assumptions'!E246/1000</f>
        <v>16940.376</v>
      </c>
      <c r="H80" s="21">
        <f>'2-Data Input &amp; Assumptions'!F246/1000</f>
        <v>19964.599999999999</v>
      </c>
      <c r="I80" s="21">
        <f>'2-Data Input &amp; Assumptions'!G246/1000</f>
        <v>17907.400000000001</v>
      </c>
      <c r="J80" s="21">
        <f>'2-Data Input &amp; Assumptions'!H246/1000</f>
        <v>17838</v>
      </c>
      <c r="K80" s="21">
        <f>'2-Data Input &amp; Assumptions'!I246/1000</f>
        <v>27897.5</v>
      </c>
      <c r="L80" s="21">
        <f>'2-Data Input &amp; Assumptions'!J246/1000</f>
        <v>24658.6</v>
      </c>
      <c r="M80" s="21">
        <f>'2-Data Input &amp; Assumptions'!K246/1000</f>
        <v>26192.7</v>
      </c>
      <c r="N80" s="21">
        <f>'2-Data Input &amp; Assumptions'!L246/1000</f>
        <v>23749.3</v>
      </c>
      <c r="O80" s="21">
        <f>'2-Data Input &amp; Assumptions'!M246/1000</f>
        <v>17204.3</v>
      </c>
      <c r="P80" s="86">
        <f>'2-Data Input &amp; Assumptions'!N246/1000</f>
        <v>14488.8</v>
      </c>
      <c r="Q80" s="21">
        <f>'2-Data Input &amp; Assumptions'!C315/1000</f>
        <v>23731.636673070552</v>
      </c>
      <c r="R80" s="21">
        <f>'2-Data Input &amp; Assumptions'!D315/1000</f>
        <v>16527.569300072933</v>
      </c>
      <c r="S80" s="21">
        <f>'2-Data Input &amp; Assumptions'!E315/1000</f>
        <v>18402.467172665078</v>
      </c>
      <c r="T80" s="21">
        <f>'2-Data Input &amp; Assumptions'!F315/1000</f>
        <v>20240.386221541707</v>
      </c>
      <c r="U80" s="21">
        <f>'2-Data Input &amp; Assumptions'!G315/1000</f>
        <v>18550.136311541355</v>
      </c>
      <c r="V80" s="21">
        <f>'2-Data Input &amp; Assumptions'!H315/1000</f>
        <v>18735.821606973816</v>
      </c>
      <c r="W80" s="21">
        <f>'2-Data Input &amp; Assumptions'!I315/1000</f>
        <v>24567.173770916666</v>
      </c>
      <c r="X80" s="21">
        <f>'2-Data Input &amp; Assumptions'!J315/1000</f>
        <v>25341.735911865628</v>
      </c>
      <c r="Y80" s="21">
        <f>'2-Data Input &amp; Assumptions'!K315/1000</f>
        <v>22921.035230921276</v>
      </c>
      <c r="Z80" s="21">
        <f>'2-Data Input &amp; Assumptions'!L315/1000</f>
        <v>22329.338187687095</v>
      </c>
      <c r="AA80" s="21">
        <f>'2-Data Input &amp; Assumptions'!M315/1000</f>
        <v>18956.301838910349</v>
      </c>
      <c r="AB80" s="86">
        <f>'2-Data Input &amp; Assumptions'!N315/1000</f>
        <v>14487.874613833552</v>
      </c>
      <c r="AC80" s="21">
        <f>Q80*(1+'2-Data Input &amp; Assumptions'!$G383)</f>
        <v>24443.585773262668</v>
      </c>
      <c r="AD80" s="21">
        <f>R80*(1+'2-Data Input &amp; Assumptions'!$G383)</f>
        <v>17023.396379075122</v>
      </c>
      <c r="AE80" s="21">
        <f>S80*(1+'2-Data Input &amp; Assumptions'!$G383)</f>
        <v>18954.541187845032</v>
      </c>
      <c r="AF80" s="21">
        <f>T80*(1+'2-Data Input &amp; Assumptions'!$G383)</f>
        <v>20847.597808187958</v>
      </c>
      <c r="AG80" s="21">
        <f>U80*(1+'2-Data Input &amp; Assumptions'!$G383)</f>
        <v>19106.640400887598</v>
      </c>
      <c r="AH80" s="21">
        <f>V80*(1+'2-Data Input &amp; Assumptions'!$G383)</f>
        <v>19297.89625518303</v>
      </c>
      <c r="AI80" s="21">
        <f>W80*(1+'2-Data Input &amp; Assumptions'!$G383)</f>
        <v>25304.188984044165</v>
      </c>
      <c r="AJ80" s="21">
        <f>X80*(1+'2-Data Input &amp; Assumptions'!$G383)</f>
        <v>26101.987989221598</v>
      </c>
      <c r="AK80" s="21">
        <f>Y80*(1+'2-Data Input &amp; Assumptions'!$G383)</f>
        <v>23608.666287848915</v>
      </c>
      <c r="AL80" s="21">
        <f>Z80*(1+'2-Data Input &amp; Assumptions'!$G383)</f>
        <v>22999.218333317709</v>
      </c>
      <c r="AM80" s="21">
        <f>AA80*(1+'2-Data Input &amp; Assumptions'!$G383)</f>
        <v>19524.990894077659</v>
      </c>
      <c r="AN80" s="21">
        <f>AB80*(1+'2-Data Input &amp; Assumptions'!$G383)</f>
        <v>14922.510852248559</v>
      </c>
    </row>
    <row r="81" spans="2:40" x14ac:dyDescent="0.3">
      <c r="B81" s="27"/>
      <c r="C81" s="12"/>
      <c r="D81" s="20" t="str">
        <f>'2-Data Input &amp; Assumptions'!A44</f>
        <v>UTILITIES</v>
      </c>
      <c r="E81" s="21">
        <f>'2-Data Input &amp; Assumptions'!C247/1000</f>
        <v>0</v>
      </c>
      <c r="F81" s="21">
        <f>'2-Data Input &amp; Assumptions'!D247/1000</f>
        <v>0</v>
      </c>
      <c r="G81" s="21">
        <f>'2-Data Input &amp; Assumptions'!E247/1000</f>
        <v>0</v>
      </c>
      <c r="H81" s="21">
        <f>'2-Data Input &amp; Assumptions'!F247/1000</f>
        <v>0</v>
      </c>
      <c r="I81" s="21">
        <f>'2-Data Input &amp; Assumptions'!G247/1000</f>
        <v>0</v>
      </c>
      <c r="J81" s="21">
        <f>'2-Data Input &amp; Assumptions'!H247/1000</f>
        <v>0</v>
      </c>
      <c r="K81" s="21">
        <f>'2-Data Input &amp; Assumptions'!I247/1000</f>
        <v>0</v>
      </c>
      <c r="L81" s="21">
        <f>'2-Data Input &amp; Assumptions'!J247/1000</f>
        <v>0</v>
      </c>
      <c r="M81" s="21">
        <f>'2-Data Input &amp; Assumptions'!K247/1000</f>
        <v>0</v>
      </c>
      <c r="N81" s="21">
        <f>'2-Data Input &amp; Assumptions'!L247/1000</f>
        <v>0</v>
      </c>
      <c r="O81" s="21">
        <f>'2-Data Input &amp; Assumptions'!M247/1000</f>
        <v>0</v>
      </c>
      <c r="P81" s="86">
        <f>'2-Data Input &amp; Assumptions'!N247/1000</f>
        <v>0</v>
      </c>
      <c r="Q81" s="21">
        <f>'2-Data Input &amp; Assumptions'!C316/1000</f>
        <v>0</v>
      </c>
      <c r="R81" s="21">
        <f>'2-Data Input &amp; Assumptions'!D316/1000</f>
        <v>0</v>
      </c>
      <c r="S81" s="21">
        <f>'2-Data Input &amp; Assumptions'!E316/1000</f>
        <v>0</v>
      </c>
      <c r="T81" s="21">
        <f>'2-Data Input &amp; Assumptions'!F316/1000</f>
        <v>0</v>
      </c>
      <c r="U81" s="21">
        <f>'2-Data Input &amp; Assumptions'!G316/1000</f>
        <v>0</v>
      </c>
      <c r="V81" s="21">
        <f>'2-Data Input &amp; Assumptions'!H316/1000</f>
        <v>0</v>
      </c>
      <c r="W81" s="21">
        <f>'2-Data Input &amp; Assumptions'!I316/1000</f>
        <v>0</v>
      </c>
      <c r="X81" s="21">
        <f>'2-Data Input &amp; Assumptions'!J316/1000</f>
        <v>0</v>
      </c>
      <c r="Y81" s="21">
        <f>'2-Data Input &amp; Assumptions'!K316/1000</f>
        <v>0</v>
      </c>
      <c r="Z81" s="21">
        <f>'2-Data Input &amp; Assumptions'!L316/1000</f>
        <v>0</v>
      </c>
      <c r="AA81" s="21">
        <f>'2-Data Input &amp; Assumptions'!M316/1000</f>
        <v>0</v>
      </c>
      <c r="AB81" s="86">
        <f>'2-Data Input &amp; Assumptions'!N316/1000</f>
        <v>0</v>
      </c>
      <c r="AC81" s="21">
        <f>Q81*(1+'2-Data Input &amp; Assumptions'!$G384)</f>
        <v>0</v>
      </c>
      <c r="AD81" s="21">
        <f>R81*(1+'2-Data Input &amp; Assumptions'!$G384)</f>
        <v>0</v>
      </c>
      <c r="AE81" s="21">
        <f>S81*(1+'2-Data Input &amp; Assumptions'!$G384)</f>
        <v>0</v>
      </c>
      <c r="AF81" s="21">
        <f>T81*(1+'2-Data Input &amp; Assumptions'!$G384)</f>
        <v>0</v>
      </c>
      <c r="AG81" s="21">
        <f>U81*(1+'2-Data Input &amp; Assumptions'!$G384)</f>
        <v>0</v>
      </c>
      <c r="AH81" s="21">
        <f>V81*(1+'2-Data Input &amp; Assumptions'!$G384)</f>
        <v>0</v>
      </c>
      <c r="AI81" s="21">
        <f>W81*(1+'2-Data Input &amp; Assumptions'!$G384)</f>
        <v>0</v>
      </c>
      <c r="AJ81" s="21">
        <f>X81*(1+'2-Data Input &amp; Assumptions'!$G384)</f>
        <v>0</v>
      </c>
      <c r="AK81" s="21">
        <f>Y81*(1+'2-Data Input &amp; Assumptions'!$G384)</f>
        <v>0</v>
      </c>
      <c r="AL81" s="21">
        <f>Z81*(1+'2-Data Input &amp; Assumptions'!$G384)</f>
        <v>0</v>
      </c>
      <c r="AM81" s="21">
        <f>AA81*(1+'2-Data Input &amp; Assumptions'!$G384)</f>
        <v>0</v>
      </c>
      <c r="AN81" s="21">
        <f>AB81*(1+'2-Data Input &amp; Assumptions'!$G384)</f>
        <v>0</v>
      </c>
    </row>
    <row r="82" spans="2:40" x14ac:dyDescent="0.3">
      <c r="B82" s="27"/>
      <c r="C82" s="12"/>
      <c r="D82" s="20" t="str">
        <f>'2-Data Input &amp; Assumptions'!A45</f>
        <v>MAINTENANCE AND REPAIRS</v>
      </c>
      <c r="E82" s="21">
        <f>'2-Data Input &amp; Assumptions'!C248/1000</f>
        <v>0</v>
      </c>
      <c r="F82" s="21">
        <f>'2-Data Input &amp; Assumptions'!D248/1000</f>
        <v>0</v>
      </c>
      <c r="G82" s="21">
        <f>'2-Data Input &amp; Assumptions'!E248/1000</f>
        <v>0</v>
      </c>
      <c r="H82" s="21">
        <f>'2-Data Input &amp; Assumptions'!F248/1000</f>
        <v>0</v>
      </c>
      <c r="I82" s="21">
        <f>'2-Data Input &amp; Assumptions'!G248/1000</f>
        <v>0</v>
      </c>
      <c r="J82" s="21">
        <f>'2-Data Input &amp; Assumptions'!H248/1000</f>
        <v>0</v>
      </c>
      <c r="K82" s="21">
        <f>'2-Data Input &amp; Assumptions'!I248/1000</f>
        <v>0</v>
      </c>
      <c r="L82" s="21">
        <f>'2-Data Input &amp; Assumptions'!J248/1000</f>
        <v>0</v>
      </c>
      <c r="M82" s="21">
        <f>'2-Data Input &amp; Assumptions'!K248/1000</f>
        <v>0</v>
      </c>
      <c r="N82" s="21">
        <f>'2-Data Input &amp; Assumptions'!L248/1000</f>
        <v>0</v>
      </c>
      <c r="O82" s="21">
        <f>'2-Data Input &amp; Assumptions'!M248/1000</f>
        <v>0</v>
      </c>
      <c r="P82" s="86">
        <f>'2-Data Input &amp; Assumptions'!N248/1000</f>
        <v>0</v>
      </c>
      <c r="Q82" s="21">
        <f>'2-Data Input &amp; Assumptions'!C317/1000</f>
        <v>0</v>
      </c>
      <c r="R82" s="21">
        <f>'2-Data Input &amp; Assumptions'!D317/1000</f>
        <v>0</v>
      </c>
      <c r="S82" s="21">
        <f>'2-Data Input &amp; Assumptions'!E317/1000</f>
        <v>0</v>
      </c>
      <c r="T82" s="21">
        <f>'2-Data Input &amp; Assumptions'!F317/1000</f>
        <v>0</v>
      </c>
      <c r="U82" s="21">
        <f>'2-Data Input &amp; Assumptions'!G317/1000</f>
        <v>0</v>
      </c>
      <c r="V82" s="21">
        <f>'2-Data Input &amp; Assumptions'!H317/1000</f>
        <v>0</v>
      </c>
      <c r="W82" s="21">
        <f>'2-Data Input &amp; Assumptions'!I317/1000</f>
        <v>0</v>
      </c>
      <c r="X82" s="21">
        <f>'2-Data Input &amp; Assumptions'!J317/1000</f>
        <v>0</v>
      </c>
      <c r="Y82" s="21">
        <f>'2-Data Input &amp; Assumptions'!K317/1000</f>
        <v>0</v>
      </c>
      <c r="Z82" s="21">
        <f>'2-Data Input &amp; Assumptions'!L317/1000</f>
        <v>0</v>
      </c>
      <c r="AA82" s="21">
        <f>'2-Data Input &amp; Assumptions'!M317/1000</f>
        <v>0</v>
      </c>
      <c r="AB82" s="86">
        <f>'2-Data Input &amp; Assumptions'!N317/1000</f>
        <v>0</v>
      </c>
      <c r="AC82" s="21">
        <f>Q82*(1+'2-Data Input &amp; Assumptions'!$G385)</f>
        <v>0</v>
      </c>
      <c r="AD82" s="21">
        <f>R82*(1+'2-Data Input &amp; Assumptions'!$G385)</f>
        <v>0</v>
      </c>
      <c r="AE82" s="21">
        <f>S82*(1+'2-Data Input &amp; Assumptions'!$G385)</f>
        <v>0</v>
      </c>
      <c r="AF82" s="21">
        <f>T82*(1+'2-Data Input &amp; Assumptions'!$G385)</f>
        <v>0</v>
      </c>
      <c r="AG82" s="21">
        <f>U82*(1+'2-Data Input &amp; Assumptions'!$G385)</f>
        <v>0</v>
      </c>
      <c r="AH82" s="21">
        <f>V82*(1+'2-Data Input &amp; Assumptions'!$G385)</f>
        <v>0</v>
      </c>
      <c r="AI82" s="21">
        <f>W82*(1+'2-Data Input &amp; Assumptions'!$G385)</f>
        <v>0</v>
      </c>
      <c r="AJ82" s="21">
        <f>X82*(1+'2-Data Input &amp; Assumptions'!$G385)</f>
        <v>0</v>
      </c>
      <c r="AK82" s="21">
        <f>Y82*(1+'2-Data Input &amp; Assumptions'!$G385)</f>
        <v>0</v>
      </c>
      <c r="AL82" s="21">
        <f>Z82*(1+'2-Data Input &amp; Assumptions'!$G385)</f>
        <v>0</v>
      </c>
      <c r="AM82" s="21">
        <f>AA82*(1+'2-Data Input &amp; Assumptions'!$G385)</f>
        <v>0</v>
      </c>
      <c r="AN82" s="21">
        <f>AB82*(1+'2-Data Input &amp; Assumptions'!$G385)</f>
        <v>0</v>
      </c>
    </row>
    <row r="83" spans="2:40" x14ac:dyDescent="0.3">
      <c r="B83" s="27"/>
      <c r="C83" s="12"/>
      <c r="D83" s="20" t="str">
        <f>'2-Data Input &amp; Assumptions'!A46</f>
        <v>FISCAL DISPARITIES</v>
      </c>
      <c r="E83" s="21">
        <f>'2-Data Input &amp; Assumptions'!C249/1000</f>
        <v>0</v>
      </c>
      <c r="F83" s="21">
        <f>'2-Data Input &amp; Assumptions'!D249/1000</f>
        <v>0</v>
      </c>
      <c r="G83" s="21">
        <f>'2-Data Input &amp; Assumptions'!E249/1000</f>
        <v>0</v>
      </c>
      <c r="H83" s="21">
        <f>'2-Data Input &amp; Assumptions'!F249/1000</f>
        <v>0</v>
      </c>
      <c r="I83" s="21">
        <f>'2-Data Input &amp; Assumptions'!G249/1000</f>
        <v>0</v>
      </c>
      <c r="J83" s="21">
        <f>'2-Data Input &amp; Assumptions'!H249/1000</f>
        <v>34605.800000000003</v>
      </c>
      <c r="K83" s="21">
        <f>'2-Data Input &amp; Assumptions'!I249/1000</f>
        <v>0</v>
      </c>
      <c r="L83" s="21">
        <f>'2-Data Input &amp; Assumptions'!J249/1000</f>
        <v>0</v>
      </c>
      <c r="M83" s="21">
        <f>'2-Data Input &amp; Assumptions'!K249/1000</f>
        <v>0</v>
      </c>
      <c r="N83" s="21">
        <f>'2-Data Input &amp; Assumptions'!L249/1000</f>
        <v>0</v>
      </c>
      <c r="O83" s="21">
        <f>'2-Data Input &amp; Assumptions'!M249/1000</f>
        <v>34605.800000000003</v>
      </c>
      <c r="P83" s="86">
        <f>'2-Data Input &amp; Assumptions'!N249/1000</f>
        <v>0</v>
      </c>
      <c r="Q83" s="21">
        <f>'2-Data Input &amp; Assumptions'!C318/1000</f>
        <v>0</v>
      </c>
      <c r="R83" s="21">
        <f>'2-Data Input &amp; Assumptions'!D318/1000</f>
        <v>0</v>
      </c>
      <c r="S83" s="21">
        <f>'2-Data Input &amp; Assumptions'!E318/1000</f>
        <v>0</v>
      </c>
      <c r="T83" s="21">
        <f>'2-Data Input &amp; Assumptions'!F318/1000</f>
        <v>0</v>
      </c>
      <c r="U83" s="21">
        <f>'2-Data Input &amp; Assumptions'!G318/1000</f>
        <v>0</v>
      </c>
      <c r="V83" s="21">
        <f>'2-Data Input &amp; Assumptions'!H318/1000</f>
        <v>34143.531135839818</v>
      </c>
      <c r="W83" s="21">
        <f>'2-Data Input &amp; Assumptions'!I318/1000</f>
        <v>847.642364160184</v>
      </c>
      <c r="X83" s="21">
        <f>'2-Data Input &amp; Assumptions'!J318/1000</f>
        <v>0</v>
      </c>
      <c r="Y83" s="21">
        <f>'2-Data Input &amp; Assumptions'!K318/1000</f>
        <v>0</v>
      </c>
      <c r="Z83" s="21">
        <f>'2-Data Input &amp; Assumptions'!L318/1000</f>
        <v>0</v>
      </c>
      <c r="AA83" s="21">
        <f>'2-Data Input &amp; Assumptions'!M318/1000</f>
        <v>34991.173499999997</v>
      </c>
      <c r="AB83" s="86">
        <f>'2-Data Input &amp; Assumptions'!N318/1000</f>
        <v>0</v>
      </c>
      <c r="AC83" s="21">
        <f>Q83*(1+'2-Data Input &amp; Assumptions'!$G386)</f>
        <v>0</v>
      </c>
      <c r="AD83" s="21">
        <f>R83*(1+'2-Data Input &amp; Assumptions'!$G386)</f>
        <v>0</v>
      </c>
      <c r="AE83" s="21">
        <f>S83*(1+'2-Data Input &amp; Assumptions'!$G386)</f>
        <v>0</v>
      </c>
      <c r="AF83" s="21">
        <f>T83*(1+'2-Data Input &amp; Assumptions'!$G386)</f>
        <v>0</v>
      </c>
      <c r="AG83" s="21">
        <f>U83*(1+'2-Data Input &amp; Assumptions'!$G386)</f>
        <v>0</v>
      </c>
      <c r="AH83" s="21">
        <f>V83*(1+'2-Data Input &amp; Assumptions'!$G386)</f>
        <v>34143.531135839818</v>
      </c>
      <c r="AI83" s="21">
        <f>W83*(1+'2-Data Input &amp; Assumptions'!$G386)</f>
        <v>847.642364160184</v>
      </c>
      <c r="AJ83" s="21">
        <f>X83*(1+'2-Data Input &amp; Assumptions'!$G386)</f>
        <v>0</v>
      </c>
      <c r="AK83" s="21">
        <f>Y83*(1+'2-Data Input &amp; Assumptions'!$G386)</f>
        <v>0</v>
      </c>
      <c r="AL83" s="21">
        <f>Z83*(1+'2-Data Input &amp; Assumptions'!$G386)</f>
        <v>0</v>
      </c>
      <c r="AM83" s="21">
        <f>AA83*(1+'2-Data Input &amp; Assumptions'!$G386)</f>
        <v>34991.173499999997</v>
      </c>
      <c r="AN83" s="21">
        <f>AB83*(1+'2-Data Input &amp; Assumptions'!$G386)</f>
        <v>0</v>
      </c>
    </row>
    <row r="84" spans="2:40" x14ac:dyDescent="0.3">
      <c r="B84" s="27"/>
      <c r="C84" s="12"/>
      <c r="D84" s="20" t="str">
        <f>'2-Data Input &amp; Assumptions'!A47</f>
        <v>CAPITAL</v>
      </c>
      <c r="E84" s="21">
        <f>'2-Data Input &amp; Assumptions'!C250/1000</f>
        <v>0</v>
      </c>
      <c r="F84" s="21">
        <f>'2-Data Input &amp; Assumptions'!D250/1000</f>
        <v>0</v>
      </c>
      <c r="G84" s="21">
        <f>'2-Data Input &amp; Assumptions'!E250/1000</f>
        <v>0</v>
      </c>
      <c r="H84" s="21">
        <f>'2-Data Input &amp; Assumptions'!F250/1000</f>
        <v>0</v>
      </c>
      <c r="I84" s="21">
        <f>'2-Data Input &amp; Assumptions'!G250/1000</f>
        <v>0</v>
      </c>
      <c r="J84" s="21">
        <f>'2-Data Input &amp; Assumptions'!H250/1000</f>
        <v>0</v>
      </c>
      <c r="K84" s="21">
        <f>'2-Data Input &amp; Assumptions'!I250/1000</f>
        <v>0</v>
      </c>
      <c r="L84" s="21">
        <f>'2-Data Input &amp; Assumptions'!J250/1000</f>
        <v>0</v>
      </c>
      <c r="M84" s="21">
        <f>'2-Data Input &amp; Assumptions'!K250/1000</f>
        <v>0</v>
      </c>
      <c r="N84" s="21">
        <f>'2-Data Input &amp; Assumptions'!L250/1000</f>
        <v>0</v>
      </c>
      <c r="O84" s="21">
        <f>'2-Data Input &amp; Assumptions'!M250/1000</f>
        <v>0</v>
      </c>
      <c r="P84" s="86">
        <f>'2-Data Input &amp; Assumptions'!N250/1000</f>
        <v>0</v>
      </c>
      <c r="Q84" s="21">
        <f>'2-Data Input &amp; Assumptions'!C319/1000</f>
        <v>0</v>
      </c>
      <c r="R84" s="21">
        <f>'2-Data Input &amp; Assumptions'!D319/1000</f>
        <v>0</v>
      </c>
      <c r="S84" s="21">
        <f>'2-Data Input &amp; Assumptions'!E319/1000</f>
        <v>0</v>
      </c>
      <c r="T84" s="21">
        <f>'2-Data Input &amp; Assumptions'!F319/1000</f>
        <v>0</v>
      </c>
      <c r="U84" s="21">
        <f>'2-Data Input &amp; Assumptions'!G319/1000</f>
        <v>0</v>
      </c>
      <c r="V84" s="21">
        <f>'2-Data Input &amp; Assumptions'!H319/1000</f>
        <v>0</v>
      </c>
      <c r="W84" s="21">
        <f>'2-Data Input &amp; Assumptions'!I319/1000</f>
        <v>0</v>
      </c>
      <c r="X84" s="21">
        <f>'2-Data Input &amp; Assumptions'!J319/1000</f>
        <v>0</v>
      </c>
      <c r="Y84" s="21">
        <f>'2-Data Input &amp; Assumptions'!K319/1000</f>
        <v>0</v>
      </c>
      <c r="Z84" s="21">
        <f>'2-Data Input &amp; Assumptions'!L319/1000</f>
        <v>0</v>
      </c>
      <c r="AA84" s="21">
        <f>'2-Data Input &amp; Assumptions'!M319/1000</f>
        <v>0</v>
      </c>
      <c r="AB84" s="86">
        <f>'2-Data Input &amp; Assumptions'!N319/1000</f>
        <v>0</v>
      </c>
      <c r="AC84" s="21">
        <f>Q84*(1+'2-Data Input &amp; Assumptions'!$G387)</f>
        <v>0</v>
      </c>
      <c r="AD84" s="21">
        <f>R84*(1+'2-Data Input &amp; Assumptions'!$G387)</f>
        <v>0</v>
      </c>
      <c r="AE84" s="21">
        <f>S84*(1+'2-Data Input &amp; Assumptions'!$G387)</f>
        <v>0</v>
      </c>
      <c r="AF84" s="21">
        <f>T84*(1+'2-Data Input &amp; Assumptions'!$G387)</f>
        <v>0</v>
      </c>
      <c r="AG84" s="21">
        <f>U84*(1+'2-Data Input &amp; Assumptions'!$G387)</f>
        <v>0</v>
      </c>
      <c r="AH84" s="21">
        <f>V84*(1+'2-Data Input &amp; Assumptions'!$G387)</f>
        <v>0</v>
      </c>
      <c r="AI84" s="21">
        <f>W84*(1+'2-Data Input &amp; Assumptions'!$G387)</f>
        <v>0</v>
      </c>
      <c r="AJ84" s="21">
        <f>X84*(1+'2-Data Input &amp; Assumptions'!$G387)</f>
        <v>0</v>
      </c>
      <c r="AK84" s="21">
        <f>Y84*(1+'2-Data Input &amp; Assumptions'!$G387)</f>
        <v>0</v>
      </c>
      <c r="AL84" s="21">
        <f>Z84*(1+'2-Data Input &amp; Assumptions'!$G387)</f>
        <v>0</v>
      </c>
      <c r="AM84" s="21">
        <f>AA84*(1+'2-Data Input &amp; Assumptions'!$G387)</f>
        <v>0</v>
      </c>
      <c r="AN84" s="21">
        <f>AB84*(1+'2-Data Input &amp; Assumptions'!$G387)</f>
        <v>0</v>
      </c>
    </row>
    <row r="85" spans="2:40" x14ac:dyDescent="0.3">
      <c r="B85" s="27"/>
      <c r="C85" s="12"/>
      <c r="D85" s="20" t="str">
        <f>'2-Data Input &amp; Assumptions'!A48</f>
        <v>GRANTS</v>
      </c>
      <c r="E85" s="21">
        <f>'2-Data Input &amp; Assumptions'!C251/1000</f>
        <v>0</v>
      </c>
      <c r="F85" s="21">
        <f>'2-Data Input &amp; Assumptions'!D251/1000</f>
        <v>0</v>
      </c>
      <c r="G85" s="21">
        <f>'2-Data Input &amp; Assumptions'!E251/1000</f>
        <v>0</v>
      </c>
      <c r="H85" s="21">
        <f>'2-Data Input &amp; Assumptions'!F251/1000</f>
        <v>0</v>
      </c>
      <c r="I85" s="21">
        <f>'2-Data Input &amp; Assumptions'!G251/1000</f>
        <v>0</v>
      </c>
      <c r="J85" s="21">
        <f>'2-Data Input &amp; Assumptions'!H251/1000</f>
        <v>0</v>
      </c>
      <c r="K85" s="21">
        <f>'2-Data Input &amp; Assumptions'!I251/1000</f>
        <v>0</v>
      </c>
      <c r="L85" s="21">
        <f>'2-Data Input &amp; Assumptions'!J251/1000</f>
        <v>0</v>
      </c>
      <c r="M85" s="21">
        <f>'2-Data Input &amp; Assumptions'!K251/1000</f>
        <v>0</v>
      </c>
      <c r="N85" s="21">
        <f>'2-Data Input &amp; Assumptions'!L251/1000</f>
        <v>0</v>
      </c>
      <c r="O85" s="21">
        <f>'2-Data Input &amp; Assumptions'!M251/1000</f>
        <v>0</v>
      </c>
      <c r="P85" s="86">
        <f>'2-Data Input &amp; Assumptions'!N251/1000</f>
        <v>0</v>
      </c>
      <c r="Q85" s="21">
        <f>'2-Data Input &amp; Assumptions'!C320/1000</f>
        <v>0</v>
      </c>
      <c r="R85" s="21">
        <f>'2-Data Input &amp; Assumptions'!D320/1000</f>
        <v>0</v>
      </c>
      <c r="S85" s="21">
        <f>'2-Data Input &amp; Assumptions'!E320/1000</f>
        <v>0</v>
      </c>
      <c r="T85" s="21">
        <f>'2-Data Input &amp; Assumptions'!F320/1000</f>
        <v>0</v>
      </c>
      <c r="U85" s="21">
        <f>'2-Data Input &amp; Assumptions'!G320/1000</f>
        <v>0</v>
      </c>
      <c r="V85" s="21">
        <f>'2-Data Input &amp; Assumptions'!H320/1000</f>
        <v>0</v>
      </c>
      <c r="W85" s="21">
        <f>'2-Data Input &amp; Assumptions'!I320/1000</f>
        <v>0</v>
      </c>
      <c r="X85" s="21">
        <f>'2-Data Input &amp; Assumptions'!J320/1000</f>
        <v>0</v>
      </c>
      <c r="Y85" s="21">
        <f>'2-Data Input &amp; Assumptions'!K320/1000</f>
        <v>0</v>
      </c>
      <c r="Z85" s="21">
        <f>'2-Data Input &amp; Assumptions'!L320/1000</f>
        <v>0</v>
      </c>
      <c r="AA85" s="21">
        <f>'2-Data Input &amp; Assumptions'!M320/1000</f>
        <v>0</v>
      </c>
      <c r="AB85" s="86">
        <f>'2-Data Input &amp; Assumptions'!N320/1000</f>
        <v>0</v>
      </c>
      <c r="AC85" s="21">
        <f>Q85*(1+'2-Data Input &amp; Assumptions'!$G388)</f>
        <v>0</v>
      </c>
      <c r="AD85" s="21">
        <f>R85*(1+'2-Data Input &amp; Assumptions'!$G388)</f>
        <v>0</v>
      </c>
      <c r="AE85" s="21">
        <f>S85*(1+'2-Data Input &amp; Assumptions'!$G388)</f>
        <v>0</v>
      </c>
      <c r="AF85" s="21">
        <f>T85*(1+'2-Data Input &amp; Assumptions'!$G388)</f>
        <v>0</v>
      </c>
      <c r="AG85" s="21">
        <f>U85*(1+'2-Data Input &amp; Assumptions'!$G388)</f>
        <v>0</v>
      </c>
      <c r="AH85" s="21">
        <f>V85*(1+'2-Data Input &amp; Assumptions'!$G388)</f>
        <v>0</v>
      </c>
      <c r="AI85" s="21">
        <f>W85*(1+'2-Data Input &amp; Assumptions'!$G388)</f>
        <v>0</v>
      </c>
      <c r="AJ85" s="21">
        <f>X85*(1+'2-Data Input &amp; Assumptions'!$G388)</f>
        <v>0</v>
      </c>
      <c r="AK85" s="21">
        <f>Y85*(1+'2-Data Input &amp; Assumptions'!$G388)</f>
        <v>0</v>
      </c>
      <c r="AL85" s="21">
        <f>Z85*(1+'2-Data Input &amp; Assumptions'!$G388)</f>
        <v>0</v>
      </c>
      <c r="AM85" s="21">
        <f>AA85*(1+'2-Data Input &amp; Assumptions'!$G388)</f>
        <v>0</v>
      </c>
      <c r="AN85" s="21">
        <f>AB85*(1+'2-Data Input &amp; Assumptions'!$G388)</f>
        <v>0</v>
      </c>
    </row>
    <row r="86" spans="2:40" x14ac:dyDescent="0.3">
      <c r="B86" s="27"/>
      <c r="C86" s="12"/>
      <c r="D86" s="20" t="str">
        <f>'2-Data Input &amp; Assumptions'!A49</f>
        <v>TRANSFERS/OTHER</v>
      </c>
      <c r="E86" s="21">
        <f>'2-Data Input &amp; Assumptions'!C252/1000</f>
        <v>0</v>
      </c>
      <c r="F86" s="21">
        <f>'2-Data Input &amp; Assumptions'!D252/1000</f>
        <v>0</v>
      </c>
      <c r="G86" s="21">
        <f>'2-Data Input &amp; Assumptions'!E252/1000</f>
        <v>0</v>
      </c>
      <c r="H86" s="21">
        <f>'2-Data Input &amp; Assumptions'!F252/1000</f>
        <v>0</v>
      </c>
      <c r="I86" s="21">
        <f>'2-Data Input &amp; Assumptions'!G252/1000</f>
        <v>0</v>
      </c>
      <c r="J86" s="21">
        <f>'2-Data Input &amp; Assumptions'!H252/1000</f>
        <v>0</v>
      </c>
      <c r="K86" s="21">
        <f>'2-Data Input &amp; Assumptions'!I252/1000</f>
        <v>0</v>
      </c>
      <c r="L86" s="21">
        <f>'2-Data Input &amp; Assumptions'!J252/1000</f>
        <v>0</v>
      </c>
      <c r="M86" s="21">
        <f>'2-Data Input &amp; Assumptions'!K252/1000</f>
        <v>0</v>
      </c>
      <c r="N86" s="21">
        <f>'2-Data Input &amp; Assumptions'!L252/1000</f>
        <v>0</v>
      </c>
      <c r="O86" s="21">
        <f>'2-Data Input &amp; Assumptions'!M252/1000</f>
        <v>0</v>
      </c>
      <c r="P86" s="86">
        <f>'2-Data Input &amp; Assumptions'!N252/1000</f>
        <v>0</v>
      </c>
      <c r="Q86" s="21">
        <f>'2-Data Input &amp; Assumptions'!C321/1000</f>
        <v>0</v>
      </c>
      <c r="R86" s="21">
        <f>'2-Data Input &amp; Assumptions'!D321/1000</f>
        <v>0</v>
      </c>
      <c r="S86" s="21">
        <f>'2-Data Input &amp; Assumptions'!E321/1000</f>
        <v>0</v>
      </c>
      <c r="T86" s="21">
        <f>'2-Data Input &amp; Assumptions'!F321/1000</f>
        <v>0</v>
      </c>
      <c r="U86" s="21">
        <f>'2-Data Input &amp; Assumptions'!G321/1000</f>
        <v>0</v>
      </c>
      <c r="V86" s="21">
        <f>'2-Data Input &amp; Assumptions'!H321/1000</f>
        <v>0</v>
      </c>
      <c r="W86" s="21">
        <f>'2-Data Input &amp; Assumptions'!I321/1000</f>
        <v>0</v>
      </c>
      <c r="X86" s="21">
        <f>'2-Data Input &amp; Assumptions'!J321/1000</f>
        <v>0</v>
      </c>
      <c r="Y86" s="21">
        <f>'2-Data Input &amp; Assumptions'!K321/1000</f>
        <v>0</v>
      </c>
      <c r="Z86" s="21">
        <f>'2-Data Input &amp; Assumptions'!L321/1000</f>
        <v>0</v>
      </c>
      <c r="AA86" s="21">
        <f>'2-Data Input &amp; Assumptions'!M321/1000</f>
        <v>0</v>
      </c>
      <c r="AB86" s="86">
        <f>'2-Data Input &amp; Assumptions'!N321/1000</f>
        <v>0</v>
      </c>
      <c r="AC86" s="21">
        <f>Q86*(1+'2-Data Input &amp; Assumptions'!$G389)</f>
        <v>0</v>
      </c>
      <c r="AD86" s="21">
        <f>R86*(1+'2-Data Input &amp; Assumptions'!$G389)</f>
        <v>0</v>
      </c>
      <c r="AE86" s="21">
        <f>S86*(1+'2-Data Input &amp; Assumptions'!$G389)</f>
        <v>0</v>
      </c>
      <c r="AF86" s="21">
        <f>T86*(1+'2-Data Input &amp; Assumptions'!$G389)</f>
        <v>0</v>
      </c>
      <c r="AG86" s="21">
        <f>U86*(1+'2-Data Input &amp; Assumptions'!$G389)</f>
        <v>0</v>
      </c>
      <c r="AH86" s="21">
        <f>V86*(1+'2-Data Input &amp; Assumptions'!$G389)</f>
        <v>0</v>
      </c>
      <c r="AI86" s="21">
        <f>W86*(1+'2-Data Input &amp; Assumptions'!$G389)</f>
        <v>0</v>
      </c>
      <c r="AJ86" s="21">
        <f>X86*(1+'2-Data Input &amp; Assumptions'!$G389)</f>
        <v>0</v>
      </c>
      <c r="AK86" s="21">
        <f>Y86*(1+'2-Data Input &amp; Assumptions'!$G389)</f>
        <v>0</v>
      </c>
      <c r="AL86" s="21">
        <f>Z86*(1+'2-Data Input &amp; Assumptions'!$G389)</f>
        <v>0</v>
      </c>
      <c r="AM86" s="21">
        <f>AA86*(1+'2-Data Input &amp; Assumptions'!$G389)</f>
        <v>0</v>
      </c>
      <c r="AN86" s="21">
        <f>AB86*(1+'2-Data Input &amp; Assumptions'!$G389)</f>
        <v>0</v>
      </c>
    </row>
    <row r="87" spans="2:40" x14ac:dyDescent="0.3">
      <c r="B87" s="27"/>
      <c r="C87" s="12"/>
      <c r="D87" s="20" t="str">
        <f>'2-Data Input &amp; Assumptions'!A50</f>
        <v>MTGE/DEED/TAXES/FEES</v>
      </c>
      <c r="E87" s="21">
        <f>'2-Data Input &amp; Assumptions'!C253/1000</f>
        <v>601.66899999999998</v>
      </c>
      <c r="F87" s="21">
        <f>'2-Data Input &amp; Assumptions'!D253/1000</f>
        <v>1011.668</v>
      </c>
      <c r="G87" s="21">
        <f>'2-Data Input &amp; Assumptions'!E253/1000</f>
        <v>1077.626</v>
      </c>
      <c r="H87" s="21">
        <f>'2-Data Input &amp; Assumptions'!F253/1000</f>
        <v>1252.2</v>
      </c>
      <c r="I87" s="21">
        <f>'2-Data Input &amp; Assumptions'!G253/1000</f>
        <v>1138.3</v>
      </c>
      <c r="J87" s="21">
        <f>'2-Data Input &amp; Assumptions'!H253/1000</f>
        <v>2234</v>
      </c>
      <c r="K87" s="21">
        <f>'2-Data Input &amp; Assumptions'!I253/1000</f>
        <v>7.7</v>
      </c>
      <c r="L87" s="21">
        <f>'2-Data Input &amp; Assumptions'!J253/1000</f>
        <v>2350.6</v>
      </c>
      <c r="M87" s="21">
        <f>'2-Data Input &amp; Assumptions'!K253/1000</f>
        <v>1705.1</v>
      </c>
      <c r="N87" s="21">
        <f>'2-Data Input &amp; Assumptions'!L253/1000</f>
        <v>1672.5</v>
      </c>
      <c r="O87" s="21">
        <f>'2-Data Input &amp; Assumptions'!M253/1000</f>
        <v>2355.6999999999998</v>
      </c>
      <c r="P87" s="86">
        <f>'2-Data Input &amp; Assumptions'!N253/1000</f>
        <v>36.799999999999997</v>
      </c>
      <c r="Q87" s="21">
        <f>'2-Data Input &amp; Assumptions'!C322/1000</f>
        <v>1122.2661688904366</v>
      </c>
      <c r="R87" s="21">
        <f>'2-Data Input &amp; Assumptions'!D322/1000</f>
        <v>1110.8759518963307</v>
      </c>
      <c r="S87" s="21">
        <f>'2-Data Input &amp; Assumptions'!E322/1000</f>
        <v>934.09560537922414</v>
      </c>
      <c r="T87" s="21">
        <f>'2-Data Input &amp; Assumptions'!F322/1000</f>
        <v>1097.5136224283322</v>
      </c>
      <c r="U87" s="21">
        <f>'2-Data Input &amp; Assumptions'!G322/1000</f>
        <v>1112.3753923854385</v>
      </c>
      <c r="V87" s="21">
        <f>'2-Data Input &amp; Assumptions'!H322/1000</f>
        <v>2397.6166083717458</v>
      </c>
      <c r="W87" s="21">
        <f>'2-Data Input &amp; Assumptions'!I322/1000</f>
        <v>7.6446883952890481</v>
      </c>
      <c r="X87" s="21">
        <f>'2-Data Input &amp; Assumptions'!J322/1000</f>
        <v>2118.9291037224493</v>
      </c>
      <c r="Y87" s="21">
        <f>'2-Data Input &amp; Assumptions'!K322/1000</f>
        <v>1635.675002044258</v>
      </c>
      <c r="Z87" s="21">
        <f>'2-Data Input &amp; Assumptions'!L322/1000</f>
        <v>1499.665302760709</v>
      </c>
      <c r="AA87" s="21">
        <f>'2-Data Input &amp; Assumptions'!M322/1000</f>
        <v>2047.5218351566198</v>
      </c>
      <c r="AB87" s="86">
        <f>'2-Data Input &amp; Assumptions'!N322/1000</f>
        <v>639.73771856916665</v>
      </c>
      <c r="AC87" s="21">
        <f>Q87*(1+'2-Data Input &amp; Assumptions'!$G390)</f>
        <v>1122.2661688904366</v>
      </c>
      <c r="AD87" s="21">
        <f>R87*(1+'2-Data Input &amp; Assumptions'!$G390)</f>
        <v>1110.8759518963307</v>
      </c>
      <c r="AE87" s="21">
        <f>S87*(1+'2-Data Input &amp; Assumptions'!$G390)</f>
        <v>934.09560537922414</v>
      </c>
      <c r="AF87" s="21">
        <f>T87*(1+'2-Data Input &amp; Assumptions'!$G390)</f>
        <v>1097.5136224283322</v>
      </c>
      <c r="AG87" s="21">
        <f>U87*(1+'2-Data Input &amp; Assumptions'!$G390)</f>
        <v>1112.3753923854385</v>
      </c>
      <c r="AH87" s="21">
        <f>V87*(1+'2-Data Input &amp; Assumptions'!$G390)</f>
        <v>2397.6166083717458</v>
      </c>
      <c r="AI87" s="21">
        <f>W87*(1+'2-Data Input &amp; Assumptions'!$G390)</f>
        <v>7.6446883952890481</v>
      </c>
      <c r="AJ87" s="21">
        <f>X87*(1+'2-Data Input &amp; Assumptions'!$G390)</f>
        <v>2118.9291037224493</v>
      </c>
      <c r="AK87" s="21">
        <f>Y87*(1+'2-Data Input &amp; Assumptions'!$G390)</f>
        <v>1635.675002044258</v>
      </c>
      <c r="AL87" s="21">
        <f>Z87*(1+'2-Data Input &amp; Assumptions'!$G390)</f>
        <v>1499.665302760709</v>
      </c>
      <c r="AM87" s="21">
        <f>AA87*(1+'2-Data Input &amp; Assumptions'!$G390)</f>
        <v>2047.5218351566198</v>
      </c>
      <c r="AN87" s="21">
        <f>AB87*(1+'2-Data Input &amp; Assumptions'!$G390)</f>
        <v>639.73771856916665</v>
      </c>
    </row>
    <row r="88" spans="2:40" x14ac:dyDescent="0.3">
      <c r="B88" s="27"/>
      <c r="C88" s="12"/>
      <c r="D88" s="20" t="str">
        <f>'2-Data Input &amp; Assumptions'!A51</f>
        <v>DEBT PYMTS</v>
      </c>
      <c r="E88" s="21">
        <f>'2-Data Input &amp; Assumptions'!C254/1000</f>
        <v>229.83799999999999</v>
      </c>
      <c r="F88" s="21">
        <f>'2-Data Input &amp; Assumptions'!D254/1000</f>
        <v>31711.544000000002</v>
      </c>
      <c r="G88" s="21">
        <f>'2-Data Input &amp; Assumptions'!E254/1000</f>
        <v>282.33300000000003</v>
      </c>
      <c r="H88" s="21">
        <f>'2-Data Input &amp; Assumptions'!F254/1000</f>
        <v>0</v>
      </c>
      <c r="I88" s="21">
        <f>'2-Data Input &amp; Assumptions'!G254/1000</f>
        <v>0</v>
      </c>
      <c r="J88" s="21">
        <f>'2-Data Input &amp; Assumptions'!H254/1000</f>
        <v>0</v>
      </c>
      <c r="K88" s="21">
        <f>'2-Data Input &amp; Assumptions'!I254/1000</f>
        <v>15</v>
      </c>
      <c r="L88" s="21">
        <f>'2-Data Input &amp; Assumptions'!J254/1000</f>
        <v>1740</v>
      </c>
      <c r="M88" s="21">
        <f>'2-Data Input &amp; Assumptions'!K254/1000</f>
        <v>0</v>
      </c>
      <c r="N88" s="21">
        <f>'2-Data Input &amp; Assumptions'!L254/1000</f>
        <v>0</v>
      </c>
      <c r="O88" s="21">
        <f>'2-Data Input &amp; Assumptions'!M254/1000</f>
        <v>0</v>
      </c>
      <c r="P88" s="86">
        <f>'2-Data Input &amp; Assumptions'!N254/1000</f>
        <v>0</v>
      </c>
      <c r="Q88" s="21">
        <f>'2-Data Input &amp; Assumptions'!C323/1000</f>
        <v>175.37986635623429</v>
      </c>
      <c r="R88" s="21">
        <f>'2-Data Input &amp; Assumptions'!D323/1000</f>
        <v>13691.37411849851</v>
      </c>
      <c r="S88" s="21">
        <f>'2-Data Input &amp; Assumptions'!E323/1000</f>
        <v>0</v>
      </c>
      <c r="T88" s="21">
        <f>'2-Data Input &amp; Assumptions'!F323/1000</f>
        <v>0</v>
      </c>
      <c r="U88" s="21">
        <f>'2-Data Input &amp; Assumptions'!G323/1000</f>
        <v>102.71829895195519</v>
      </c>
      <c r="V88" s="21">
        <f>'2-Data Input &amp; Assumptions'!H323/1000</f>
        <v>0</v>
      </c>
      <c r="W88" s="21">
        <f>'2-Data Input &amp; Assumptions'!I323/1000</f>
        <v>745.19166627070695</v>
      </c>
      <c r="X88" s="21">
        <f>'2-Data Input &amp; Assumptions'!J323/1000</f>
        <v>708.02165067660781</v>
      </c>
      <c r="Y88" s="21">
        <f>'2-Data Input &amp; Assumptions'!K323/1000</f>
        <v>0</v>
      </c>
      <c r="Z88" s="21">
        <f>'2-Data Input &amp; Assumptions'!L323/1000</f>
        <v>0</v>
      </c>
      <c r="AA88" s="21">
        <f>'2-Data Input &amp; Assumptions'!M323/1000</f>
        <v>12.677850108197653</v>
      </c>
      <c r="AB88" s="86">
        <f>'2-Data Input &amp; Assumptions'!N323/1000</f>
        <v>626.61654913778773</v>
      </c>
      <c r="AC88" s="21">
        <f>Q88*(1+'2-Data Input &amp; Assumptions'!$G391)</f>
        <v>175.37986635623429</v>
      </c>
      <c r="AD88" s="21">
        <f>R88*(1+'2-Data Input &amp; Assumptions'!$G391)</f>
        <v>13691.37411849851</v>
      </c>
      <c r="AE88" s="21">
        <f>S88*(1+'2-Data Input &amp; Assumptions'!$G391)</f>
        <v>0</v>
      </c>
      <c r="AF88" s="21">
        <f>T88*(1+'2-Data Input &amp; Assumptions'!$G391)</f>
        <v>0</v>
      </c>
      <c r="AG88" s="21">
        <f>U88*(1+'2-Data Input &amp; Assumptions'!$G391)</f>
        <v>102.71829895195519</v>
      </c>
      <c r="AH88" s="21">
        <f>V88*(1+'2-Data Input &amp; Assumptions'!$G391)</f>
        <v>0</v>
      </c>
      <c r="AI88" s="21">
        <f>W88*(1+'2-Data Input &amp; Assumptions'!$G391)</f>
        <v>745.19166627070695</v>
      </c>
      <c r="AJ88" s="21">
        <f>X88*(1+'2-Data Input &amp; Assumptions'!$G391)</f>
        <v>708.02165067660781</v>
      </c>
      <c r="AK88" s="21">
        <f>Y88*(1+'2-Data Input &amp; Assumptions'!$G391)</f>
        <v>0</v>
      </c>
      <c r="AL88" s="21">
        <f>Z88*(1+'2-Data Input &amp; Assumptions'!$G391)</f>
        <v>0</v>
      </c>
      <c r="AM88" s="21">
        <f>AA88*(1+'2-Data Input &amp; Assumptions'!$G391)</f>
        <v>12.677850108197653</v>
      </c>
      <c r="AN88" s="21">
        <f>AB88*(1+'2-Data Input &amp; Assumptions'!$G391)</f>
        <v>626.61654913778773</v>
      </c>
    </row>
    <row r="89" spans="2:40" x14ac:dyDescent="0.3">
      <c r="B89" s="27"/>
      <c r="C89" s="12"/>
      <c r="D89" s="20" t="str">
        <f>'2-Data Input &amp; Assumptions'!A52</f>
        <v>TAX DISTRIBUTION PYMTS</v>
      </c>
      <c r="E89" s="21">
        <f>'2-Data Input &amp; Assumptions'!C255/1000</f>
        <v>3963.4929999999999</v>
      </c>
      <c r="F89" s="21">
        <f>'2-Data Input &amp; Assumptions'!D255/1000</f>
        <v>0</v>
      </c>
      <c r="G89" s="21">
        <f>'2-Data Input &amp; Assumptions'!E255/1000</f>
        <v>0</v>
      </c>
      <c r="H89" s="21">
        <f>'2-Data Input &amp; Assumptions'!F255/1000</f>
        <v>0</v>
      </c>
      <c r="I89" s="21">
        <f>'2-Data Input &amp; Assumptions'!G255/1000</f>
        <v>48719</v>
      </c>
      <c r="J89" s="21">
        <f>'2-Data Input &amp; Assumptions'!H255/1000</f>
        <v>70436.600000000006</v>
      </c>
      <c r="K89" s="21">
        <f>'2-Data Input &amp; Assumptions'!I255/1000</f>
        <v>105455.8</v>
      </c>
      <c r="L89" s="21">
        <f>'2-Data Input &amp; Assumptions'!J255/1000</f>
        <v>0</v>
      </c>
      <c r="M89" s="21">
        <f>'2-Data Input &amp; Assumptions'!K255/1000</f>
        <v>0</v>
      </c>
      <c r="N89" s="21">
        <f>'2-Data Input &amp; Assumptions'!L255/1000</f>
        <v>43239.9</v>
      </c>
      <c r="O89" s="21">
        <f>'2-Data Input &amp; Assumptions'!M255/1000</f>
        <v>45596.5</v>
      </c>
      <c r="P89" s="86">
        <f>'2-Data Input &amp; Assumptions'!N255/1000</f>
        <v>105641.1</v>
      </c>
      <c r="Q89" s="21">
        <f>'2-Data Input &amp; Assumptions'!C324/1000</f>
        <v>2751.5534222275173</v>
      </c>
      <c r="R89" s="21">
        <f>'2-Data Input &amp; Assumptions'!D324/1000</f>
        <v>0</v>
      </c>
      <c r="S89" s="21">
        <f>'2-Data Input &amp; Assumptions'!E324/1000</f>
        <v>324.19399220624638</v>
      </c>
      <c r="T89" s="21">
        <f>'2-Data Input &amp; Assumptions'!F324/1000</f>
        <v>0</v>
      </c>
      <c r="U89" s="21">
        <f>'2-Data Input &amp; Assumptions'!G324/1000</f>
        <v>48015.155799956083</v>
      </c>
      <c r="V89" s="21">
        <f>'2-Data Input &amp; Assumptions'!H324/1000</f>
        <v>74814.730993102145</v>
      </c>
      <c r="W89" s="21">
        <f>'2-Data Input &amp; Assumptions'!I324/1000</f>
        <v>102925.94422842866</v>
      </c>
      <c r="X89" s="21">
        <f>'2-Data Input &amp; Assumptions'!J324/1000</f>
        <v>0</v>
      </c>
      <c r="Y89" s="21">
        <f>'2-Data Input &amp; Assumptions'!K324/1000</f>
        <v>0</v>
      </c>
      <c r="Z89" s="21">
        <f>'2-Data Input &amp; Assumptions'!L324/1000</f>
        <v>42530.922656092269</v>
      </c>
      <c r="AA89" s="21">
        <f>'2-Data Input &amp; Assumptions'!M324/1000</f>
        <v>96102.965979668297</v>
      </c>
      <c r="AB89" s="86">
        <f>'2-Data Input &amp; Assumptions'!N324/1000</f>
        <v>54280.889388318785</v>
      </c>
      <c r="AC89" s="21">
        <f>Q89*(1+'2-Data Input &amp; Assumptions'!$G392)</f>
        <v>2834.1000248943428</v>
      </c>
      <c r="AD89" s="21">
        <f>R89*(1+'2-Data Input &amp; Assumptions'!$G392)</f>
        <v>0</v>
      </c>
      <c r="AE89" s="21">
        <f>S89*(1+'2-Data Input &amp; Assumptions'!$G392)</f>
        <v>333.91981197243376</v>
      </c>
      <c r="AF89" s="21">
        <f>T89*(1+'2-Data Input &amp; Assumptions'!$G392)</f>
        <v>0</v>
      </c>
      <c r="AG89" s="21">
        <f>U89*(1+'2-Data Input &amp; Assumptions'!$G392)</f>
        <v>49455.610473954766</v>
      </c>
      <c r="AH89" s="21">
        <f>V89*(1+'2-Data Input &amp; Assumptions'!$G392)</f>
        <v>77059.172922895217</v>
      </c>
      <c r="AI89" s="21">
        <f>W89*(1+'2-Data Input &amp; Assumptions'!$G392)</f>
        <v>106013.72255528152</v>
      </c>
      <c r="AJ89" s="21">
        <f>X89*(1+'2-Data Input &amp; Assumptions'!$G392)</f>
        <v>0</v>
      </c>
      <c r="AK89" s="21">
        <f>Y89*(1+'2-Data Input &amp; Assumptions'!$G392)</f>
        <v>0</v>
      </c>
      <c r="AL89" s="21">
        <f>Z89*(1+'2-Data Input &amp; Assumptions'!$G392)</f>
        <v>43806.850335775038</v>
      </c>
      <c r="AM89" s="21">
        <f>AA89*(1+'2-Data Input &amp; Assumptions'!$G392)</f>
        <v>98986.054959058354</v>
      </c>
      <c r="AN89" s="21">
        <f>AB89*(1+'2-Data Input &amp; Assumptions'!$G392)</f>
        <v>55909.31606996835</v>
      </c>
    </row>
    <row r="90" spans="2:40" x14ac:dyDescent="0.3">
      <c r="B90" s="27"/>
      <c r="C90" s="12"/>
      <c r="D90" s="20" t="str">
        <f>'2-Data Input &amp; Assumptions'!A53</f>
        <v xml:space="preserve">INVESTMENT PURCHASES </v>
      </c>
      <c r="E90" s="21">
        <f>'2-Data Input &amp; Assumptions'!C256/1000</f>
        <v>2249.0859999999998</v>
      </c>
      <c r="F90" s="21">
        <f>'2-Data Input &amp; Assumptions'!D256/1000</f>
        <v>6020.6239999999998</v>
      </c>
      <c r="G90" s="21">
        <f>'2-Data Input &amp; Assumptions'!E256/1000</f>
        <v>20363.918000000001</v>
      </c>
      <c r="H90" s="21">
        <f>'2-Data Input &amp; Assumptions'!F256/1000</f>
        <v>0</v>
      </c>
      <c r="I90" s="21">
        <f>'2-Data Input &amp; Assumptions'!G256/1000</f>
        <v>0</v>
      </c>
      <c r="J90" s="21">
        <f>'2-Data Input &amp; Assumptions'!H256/1000</f>
        <v>0</v>
      </c>
      <c r="K90" s="21">
        <f>'2-Data Input &amp; Assumptions'!I256/1000</f>
        <v>0</v>
      </c>
      <c r="L90" s="21">
        <f>'2-Data Input &amp; Assumptions'!J256/1000</f>
        <v>0</v>
      </c>
      <c r="M90" s="21">
        <f>'2-Data Input &amp; Assumptions'!K256/1000</f>
        <v>0</v>
      </c>
      <c r="N90" s="21">
        <f>'2-Data Input &amp; Assumptions'!L256/1000</f>
        <v>0</v>
      </c>
      <c r="O90" s="21">
        <f>'2-Data Input &amp; Assumptions'!M256/1000</f>
        <v>0</v>
      </c>
      <c r="P90" s="86">
        <f>'2-Data Input &amp; Assumptions'!N256/1000</f>
        <v>0</v>
      </c>
      <c r="Q90" s="21">
        <f>'2-Data Input &amp; Assumptions'!C325/1000</f>
        <v>0</v>
      </c>
      <c r="R90" s="21">
        <f>'2-Data Input &amp; Assumptions'!D325/1000</f>
        <v>0</v>
      </c>
      <c r="S90" s="21">
        <f>'2-Data Input &amp; Assumptions'!E325/1000</f>
        <v>0</v>
      </c>
      <c r="T90" s="21">
        <f>'2-Data Input &amp; Assumptions'!F325/1000</f>
        <v>2033.1523151538468</v>
      </c>
      <c r="U90" s="21">
        <f>'2-Data Input &amp; Assumptions'!G325/1000</f>
        <v>3187.2288200974626</v>
      </c>
      <c r="V90" s="21">
        <f>'2-Data Input &amp; Assumptions'!H325/1000</f>
        <v>4005.548504076005</v>
      </c>
      <c r="W90" s="21">
        <f>'2-Data Input &amp; Assumptions'!I325/1000</f>
        <v>1953.1383333500457</v>
      </c>
      <c r="X90" s="21">
        <f>'2-Data Input &amp; Assumptions'!J325/1000</f>
        <v>1595.6502024916438</v>
      </c>
      <c r="Y90" s="21">
        <f>'2-Data Input &amp; Assumptions'!K325/1000</f>
        <v>1849.3157706679369</v>
      </c>
      <c r="Z90" s="21">
        <f>'2-Data Input &amp; Assumptions'!L325/1000</f>
        <v>4162.6295659081388</v>
      </c>
      <c r="AA90" s="21">
        <f>'2-Data Input &amp; Assumptions'!M325/1000</f>
        <v>901.78440590604532</v>
      </c>
      <c r="AB90" s="86">
        <f>'2-Data Input &amp; Assumptions'!N325/1000</f>
        <v>2724.7684464598142</v>
      </c>
      <c r="AC90" s="21">
        <f>Q90*(1+'2-Data Input &amp; Assumptions'!$G393)</f>
        <v>0</v>
      </c>
      <c r="AD90" s="21">
        <f>R90*(1+'2-Data Input &amp; Assumptions'!$G393)</f>
        <v>0</v>
      </c>
      <c r="AE90" s="21">
        <f>S90*(1+'2-Data Input &amp; Assumptions'!$G393)</f>
        <v>0</v>
      </c>
      <c r="AF90" s="21">
        <f>T90*(1+'2-Data Input &amp; Assumptions'!$G393)</f>
        <v>2033.1523151538468</v>
      </c>
      <c r="AG90" s="21">
        <f>U90*(1+'2-Data Input &amp; Assumptions'!$G393)</f>
        <v>3187.2288200974626</v>
      </c>
      <c r="AH90" s="21">
        <f>V90*(1+'2-Data Input &amp; Assumptions'!$G393)</f>
        <v>4005.548504076005</v>
      </c>
      <c r="AI90" s="21">
        <f>W90*(1+'2-Data Input &amp; Assumptions'!$G393)</f>
        <v>1953.1383333500457</v>
      </c>
      <c r="AJ90" s="21">
        <f>X90*(1+'2-Data Input &amp; Assumptions'!$G393)</f>
        <v>1595.6502024916438</v>
      </c>
      <c r="AK90" s="21">
        <f>Y90*(1+'2-Data Input &amp; Assumptions'!$G393)</f>
        <v>1849.3157706679369</v>
      </c>
      <c r="AL90" s="21">
        <f>Z90*(1+'2-Data Input &amp; Assumptions'!$G393)</f>
        <v>4162.6295659081388</v>
      </c>
      <c r="AM90" s="21">
        <f>AA90*(1+'2-Data Input &amp; Assumptions'!$G393)</f>
        <v>901.78440590604532</v>
      </c>
      <c r="AN90" s="21">
        <f>AB90*(1+'2-Data Input &amp; Assumptions'!$G393)</f>
        <v>2724.7684464598142</v>
      </c>
    </row>
    <row r="91" spans="2:40" x14ac:dyDescent="0.3">
      <c r="B91" s="27"/>
      <c r="C91" s="12"/>
      <c r="D91" s="20" t="str">
        <f>'2-Data Input &amp; Assumptions'!A54</f>
        <v>OTHER EXPENSES/USES</v>
      </c>
      <c r="E91" s="21">
        <f>'2-Data Input &amp; Assumptions'!C257/1000</f>
        <v>0</v>
      </c>
      <c r="F91" s="21">
        <f>'2-Data Input &amp; Assumptions'!D257/1000</f>
        <v>0</v>
      </c>
      <c r="G91" s="21">
        <f>'2-Data Input &amp; Assumptions'!E257/1000</f>
        <v>0</v>
      </c>
      <c r="H91" s="21">
        <f>'2-Data Input &amp; Assumptions'!F257/1000</f>
        <v>0</v>
      </c>
      <c r="I91" s="21">
        <f>'2-Data Input &amp; Assumptions'!G257/1000</f>
        <v>0</v>
      </c>
      <c r="J91" s="21">
        <f>'2-Data Input &amp; Assumptions'!H257/1000</f>
        <v>0</v>
      </c>
      <c r="K91" s="21">
        <f>'2-Data Input &amp; Assumptions'!I257/1000</f>
        <v>0</v>
      </c>
      <c r="L91" s="21">
        <f>'2-Data Input &amp; Assumptions'!J257/1000</f>
        <v>0</v>
      </c>
      <c r="M91" s="21">
        <f>'2-Data Input &amp; Assumptions'!K257/1000</f>
        <v>0</v>
      </c>
      <c r="N91" s="21">
        <f>'2-Data Input &amp; Assumptions'!L257/1000</f>
        <v>0</v>
      </c>
      <c r="O91" s="21">
        <f>'2-Data Input &amp; Assumptions'!M257/1000</f>
        <v>0</v>
      </c>
      <c r="P91" s="86">
        <f>'2-Data Input &amp; Assumptions'!N257/1000</f>
        <v>0</v>
      </c>
      <c r="Q91" s="21">
        <f>'2-Data Input &amp; Assumptions'!C326/1000</f>
        <v>0</v>
      </c>
      <c r="R91" s="21">
        <f>'2-Data Input &amp; Assumptions'!D326/1000</f>
        <v>0</v>
      </c>
      <c r="S91" s="21">
        <f>'2-Data Input &amp; Assumptions'!E326/1000</f>
        <v>0</v>
      </c>
      <c r="T91" s="21">
        <f>'2-Data Input &amp; Assumptions'!F326/1000</f>
        <v>0</v>
      </c>
      <c r="U91" s="21">
        <f>'2-Data Input &amp; Assumptions'!G326/1000</f>
        <v>0</v>
      </c>
      <c r="V91" s="21">
        <f>'2-Data Input &amp; Assumptions'!H326/1000</f>
        <v>0</v>
      </c>
      <c r="W91" s="21">
        <f>'2-Data Input &amp; Assumptions'!I326/1000</f>
        <v>0</v>
      </c>
      <c r="X91" s="21">
        <f>'2-Data Input &amp; Assumptions'!J326/1000</f>
        <v>0</v>
      </c>
      <c r="Y91" s="21">
        <f>'2-Data Input &amp; Assumptions'!K326/1000</f>
        <v>0</v>
      </c>
      <c r="Z91" s="21">
        <f>'2-Data Input &amp; Assumptions'!L326/1000</f>
        <v>0</v>
      </c>
      <c r="AA91" s="21">
        <f>'2-Data Input &amp; Assumptions'!M326/1000</f>
        <v>0</v>
      </c>
      <c r="AB91" s="86">
        <f>'2-Data Input &amp; Assumptions'!N326/1000</f>
        <v>0</v>
      </c>
      <c r="AC91" s="21">
        <f>Q91*(1+'2-Data Input &amp; Assumptions'!$G394)</f>
        <v>0</v>
      </c>
      <c r="AD91" s="21">
        <f>R91*(1+'2-Data Input &amp; Assumptions'!$G394)</f>
        <v>0</v>
      </c>
      <c r="AE91" s="21">
        <f>S91*(1+'2-Data Input &amp; Assumptions'!$G394)</f>
        <v>0</v>
      </c>
      <c r="AF91" s="21">
        <f>T91*(1+'2-Data Input &amp; Assumptions'!$G394)</f>
        <v>0</v>
      </c>
      <c r="AG91" s="21">
        <f>U91*(1+'2-Data Input &amp; Assumptions'!$G394)</f>
        <v>0</v>
      </c>
      <c r="AH91" s="21">
        <f>V91*(1+'2-Data Input &amp; Assumptions'!$G394)</f>
        <v>0</v>
      </c>
      <c r="AI91" s="21">
        <f>W91*(1+'2-Data Input &amp; Assumptions'!$G394)</f>
        <v>0</v>
      </c>
      <c r="AJ91" s="21">
        <f>X91*(1+'2-Data Input &amp; Assumptions'!$G394)</f>
        <v>0</v>
      </c>
      <c r="AK91" s="21">
        <f>Y91*(1+'2-Data Input &amp; Assumptions'!$G394)</f>
        <v>0</v>
      </c>
      <c r="AL91" s="21">
        <f>Z91*(1+'2-Data Input &amp; Assumptions'!$G394)</f>
        <v>0</v>
      </c>
      <c r="AM91" s="21">
        <f>AA91*(1+'2-Data Input &amp; Assumptions'!$G394)</f>
        <v>0</v>
      </c>
      <c r="AN91" s="21">
        <f>AB91*(1+'2-Data Input &amp; Assumptions'!$G394)</f>
        <v>0</v>
      </c>
    </row>
    <row r="92" spans="2:40" x14ac:dyDescent="0.3">
      <c r="B92" s="27"/>
      <c r="C92" s="12"/>
      <c r="D92" s="20" t="str">
        <f>'2-Data Input &amp; Assumptions'!A55</f>
        <v>OTHER EXPENSES/USES</v>
      </c>
      <c r="E92" s="21">
        <f>'2-Data Input &amp; Assumptions'!C258/1000</f>
        <v>0</v>
      </c>
      <c r="F92" s="21">
        <f>'2-Data Input &amp; Assumptions'!D258/1000</f>
        <v>0</v>
      </c>
      <c r="G92" s="21">
        <f>'2-Data Input &amp; Assumptions'!E258/1000</f>
        <v>0</v>
      </c>
      <c r="H92" s="21">
        <f>'2-Data Input &amp; Assumptions'!F258/1000</f>
        <v>0</v>
      </c>
      <c r="I92" s="21">
        <f>'2-Data Input &amp; Assumptions'!G258/1000</f>
        <v>0</v>
      </c>
      <c r="J92" s="21">
        <f>'2-Data Input &amp; Assumptions'!H258/1000</f>
        <v>0</v>
      </c>
      <c r="K92" s="21">
        <f>'2-Data Input &amp; Assumptions'!I258/1000</f>
        <v>0</v>
      </c>
      <c r="L92" s="21">
        <f>'2-Data Input &amp; Assumptions'!J258/1000</f>
        <v>0</v>
      </c>
      <c r="M92" s="21">
        <f>'2-Data Input &amp; Assumptions'!K258/1000</f>
        <v>0</v>
      </c>
      <c r="N92" s="21">
        <f>'2-Data Input &amp; Assumptions'!L258/1000</f>
        <v>0</v>
      </c>
      <c r="O92" s="21">
        <f>'2-Data Input &amp; Assumptions'!M258/1000</f>
        <v>0</v>
      </c>
      <c r="P92" s="86">
        <f>'2-Data Input &amp; Assumptions'!N258/1000</f>
        <v>0</v>
      </c>
      <c r="Q92" s="21">
        <f>'2-Data Input &amp; Assumptions'!C327/1000</f>
        <v>0</v>
      </c>
      <c r="R92" s="21">
        <f>'2-Data Input &amp; Assumptions'!D327/1000</f>
        <v>0</v>
      </c>
      <c r="S92" s="21">
        <f>'2-Data Input &amp; Assumptions'!E327/1000</f>
        <v>0</v>
      </c>
      <c r="T92" s="21">
        <f>'2-Data Input &amp; Assumptions'!F327/1000</f>
        <v>0</v>
      </c>
      <c r="U92" s="21">
        <f>'2-Data Input &amp; Assumptions'!G327/1000</f>
        <v>0</v>
      </c>
      <c r="V92" s="21">
        <f>'2-Data Input &amp; Assumptions'!H327/1000</f>
        <v>0</v>
      </c>
      <c r="W92" s="21">
        <f>'2-Data Input &amp; Assumptions'!I327/1000</f>
        <v>0</v>
      </c>
      <c r="X92" s="21">
        <f>'2-Data Input &amp; Assumptions'!J327/1000</f>
        <v>0</v>
      </c>
      <c r="Y92" s="21">
        <f>'2-Data Input &amp; Assumptions'!K327/1000</f>
        <v>0</v>
      </c>
      <c r="Z92" s="21">
        <f>'2-Data Input &amp; Assumptions'!L327/1000</f>
        <v>0</v>
      </c>
      <c r="AA92" s="21">
        <f>'2-Data Input &amp; Assumptions'!M327/1000</f>
        <v>0</v>
      </c>
      <c r="AB92" s="86">
        <f>'2-Data Input &amp; Assumptions'!N327/1000</f>
        <v>0</v>
      </c>
      <c r="AC92" s="21">
        <f>Q92*(1+'2-Data Input &amp; Assumptions'!$G395)</f>
        <v>0</v>
      </c>
      <c r="AD92" s="21">
        <f>R92*(1+'2-Data Input &amp; Assumptions'!$G395)</f>
        <v>0</v>
      </c>
      <c r="AE92" s="21">
        <f>S92*(1+'2-Data Input &amp; Assumptions'!$G395)</f>
        <v>0</v>
      </c>
      <c r="AF92" s="21">
        <f>T92*(1+'2-Data Input &amp; Assumptions'!$G395)</f>
        <v>0</v>
      </c>
      <c r="AG92" s="21">
        <f>U92*(1+'2-Data Input &amp; Assumptions'!$G395)</f>
        <v>0</v>
      </c>
      <c r="AH92" s="21">
        <f>V92*(1+'2-Data Input &amp; Assumptions'!$G395)</f>
        <v>0</v>
      </c>
      <c r="AI92" s="21">
        <f>W92*(1+'2-Data Input &amp; Assumptions'!$G395)</f>
        <v>0</v>
      </c>
      <c r="AJ92" s="21">
        <f>X92*(1+'2-Data Input &amp; Assumptions'!$G395)</f>
        <v>0</v>
      </c>
      <c r="AK92" s="21">
        <f>Y92*(1+'2-Data Input &amp; Assumptions'!$G395)</f>
        <v>0</v>
      </c>
      <c r="AL92" s="21">
        <f>Z92*(1+'2-Data Input &amp; Assumptions'!$G395)</f>
        <v>0</v>
      </c>
      <c r="AM92" s="21">
        <f>AA92*(1+'2-Data Input &amp; Assumptions'!$G395)</f>
        <v>0</v>
      </c>
      <c r="AN92" s="21">
        <f>AB92*(1+'2-Data Input &amp; Assumptions'!$G395)</f>
        <v>0</v>
      </c>
    </row>
    <row r="93" spans="2:40" x14ac:dyDescent="0.3">
      <c r="B93" s="27"/>
      <c r="C93" s="12"/>
      <c r="D93" s="20" t="str">
        <f>'2-Data Input &amp; Assumptions'!A56</f>
        <v>OTHER EXPENSES/USES</v>
      </c>
      <c r="E93" s="21">
        <f>'2-Data Input &amp; Assumptions'!C259/1000</f>
        <v>0</v>
      </c>
      <c r="F93" s="21">
        <f>'2-Data Input &amp; Assumptions'!D259/1000</f>
        <v>0</v>
      </c>
      <c r="G93" s="21">
        <f>'2-Data Input &amp; Assumptions'!E259/1000</f>
        <v>0</v>
      </c>
      <c r="H93" s="21">
        <f>'2-Data Input &amp; Assumptions'!F259/1000</f>
        <v>0</v>
      </c>
      <c r="I93" s="21">
        <f>'2-Data Input &amp; Assumptions'!G259/1000</f>
        <v>0</v>
      </c>
      <c r="J93" s="21">
        <f>'2-Data Input &amp; Assumptions'!H259/1000</f>
        <v>0</v>
      </c>
      <c r="K93" s="21">
        <f>'2-Data Input &amp; Assumptions'!I259/1000</f>
        <v>0</v>
      </c>
      <c r="L93" s="21">
        <f>'2-Data Input &amp; Assumptions'!J259/1000</f>
        <v>0</v>
      </c>
      <c r="M93" s="21">
        <f>'2-Data Input &amp; Assumptions'!K259/1000</f>
        <v>0</v>
      </c>
      <c r="N93" s="21">
        <f>'2-Data Input &amp; Assumptions'!L259/1000</f>
        <v>0</v>
      </c>
      <c r="O93" s="21">
        <f>'2-Data Input &amp; Assumptions'!M259/1000</f>
        <v>0</v>
      </c>
      <c r="P93" s="86">
        <f>'2-Data Input &amp; Assumptions'!N259/1000</f>
        <v>0</v>
      </c>
      <c r="Q93" s="21">
        <f>'2-Data Input &amp; Assumptions'!C328/1000</f>
        <v>0</v>
      </c>
      <c r="R93" s="21">
        <f>'2-Data Input &amp; Assumptions'!D328/1000</f>
        <v>0</v>
      </c>
      <c r="S93" s="21">
        <f>'2-Data Input &amp; Assumptions'!E328/1000</f>
        <v>0</v>
      </c>
      <c r="T93" s="21">
        <f>'2-Data Input &amp; Assumptions'!F328/1000</f>
        <v>0</v>
      </c>
      <c r="U93" s="21">
        <f>'2-Data Input &amp; Assumptions'!G328/1000</f>
        <v>0</v>
      </c>
      <c r="V93" s="21">
        <f>'2-Data Input &amp; Assumptions'!H328/1000</f>
        <v>0</v>
      </c>
      <c r="W93" s="21">
        <f>'2-Data Input &amp; Assumptions'!I328/1000</f>
        <v>0</v>
      </c>
      <c r="X93" s="21">
        <f>'2-Data Input &amp; Assumptions'!J328/1000</f>
        <v>0</v>
      </c>
      <c r="Y93" s="21">
        <f>'2-Data Input &amp; Assumptions'!K328/1000</f>
        <v>0</v>
      </c>
      <c r="Z93" s="21">
        <f>'2-Data Input &amp; Assumptions'!L328/1000</f>
        <v>0</v>
      </c>
      <c r="AA93" s="21">
        <f>'2-Data Input &amp; Assumptions'!M328/1000</f>
        <v>0</v>
      </c>
      <c r="AB93" s="86">
        <f>'2-Data Input &amp; Assumptions'!N328/1000</f>
        <v>0</v>
      </c>
      <c r="AC93" s="21">
        <f>Q93*(1+'2-Data Input &amp; Assumptions'!$G396)</f>
        <v>0</v>
      </c>
      <c r="AD93" s="21">
        <f>R93*(1+'2-Data Input &amp; Assumptions'!$G396)</f>
        <v>0</v>
      </c>
      <c r="AE93" s="21">
        <f>S93*(1+'2-Data Input &amp; Assumptions'!$G396)</f>
        <v>0</v>
      </c>
      <c r="AF93" s="21">
        <f>T93*(1+'2-Data Input &amp; Assumptions'!$G396)</f>
        <v>0</v>
      </c>
      <c r="AG93" s="21">
        <f>U93*(1+'2-Data Input &amp; Assumptions'!$G396)</f>
        <v>0</v>
      </c>
      <c r="AH93" s="21">
        <f>V93*(1+'2-Data Input &amp; Assumptions'!$G396)</f>
        <v>0</v>
      </c>
      <c r="AI93" s="21">
        <f>W93*(1+'2-Data Input &amp; Assumptions'!$G396)</f>
        <v>0</v>
      </c>
      <c r="AJ93" s="21">
        <f>X93*(1+'2-Data Input &amp; Assumptions'!$G396)</f>
        <v>0</v>
      </c>
      <c r="AK93" s="21">
        <f>Y93*(1+'2-Data Input &amp; Assumptions'!$G396)</f>
        <v>0</v>
      </c>
      <c r="AL93" s="21">
        <f>Z93*(1+'2-Data Input &amp; Assumptions'!$G396)</f>
        <v>0</v>
      </c>
      <c r="AM93" s="21">
        <f>AA93*(1+'2-Data Input &amp; Assumptions'!$G396)</f>
        <v>0</v>
      </c>
      <c r="AN93" s="21">
        <f>AB93*(1+'2-Data Input &amp; Assumptions'!$G396)</f>
        <v>0</v>
      </c>
    </row>
    <row r="94" spans="2:40" x14ac:dyDescent="0.3">
      <c r="B94" s="27"/>
      <c r="C94" s="12"/>
      <c r="D94" s="20" t="str">
        <f>'2-Data Input &amp; Assumptions'!A57</f>
        <v>OTHER EXPENSES/USES</v>
      </c>
      <c r="E94" s="21">
        <f>'2-Data Input &amp; Assumptions'!C260/1000</f>
        <v>0</v>
      </c>
      <c r="F94" s="21">
        <f>'2-Data Input &amp; Assumptions'!D260/1000</f>
        <v>0</v>
      </c>
      <c r="G94" s="21">
        <f>'2-Data Input &amp; Assumptions'!E260/1000</f>
        <v>0</v>
      </c>
      <c r="H94" s="21">
        <f>'2-Data Input &amp; Assumptions'!F260/1000</f>
        <v>0</v>
      </c>
      <c r="I94" s="21">
        <f>'2-Data Input &amp; Assumptions'!G260/1000</f>
        <v>0</v>
      </c>
      <c r="J94" s="21">
        <f>'2-Data Input &amp; Assumptions'!H260/1000</f>
        <v>0</v>
      </c>
      <c r="K94" s="21">
        <f>'2-Data Input &amp; Assumptions'!I260/1000</f>
        <v>0</v>
      </c>
      <c r="L94" s="21">
        <f>'2-Data Input &amp; Assumptions'!J260/1000</f>
        <v>0</v>
      </c>
      <c r="M94" s="21">
        <f>'2-Data Input &amp; Assumptions'!K260/1000</f>
        <v>0</v>
      </c>
      <c r="N94" s="21">
        <f>'2-Data Input &amp; Assumptions'!L260/1000</f>
        <v>0</v>
      </c>
      <c r="O94" s="21">
        <f>'2-Data Input &amp; Assumptions'!M260/1000</f>
        <v>0</v>
      </c>
      <c r="P94" s="86">
        <f>'2-Data Input &amp; Assumptions'!N260/1000</f>
        <v>0</v>
      </c>
      <c r="Q94" s="21">
        <f>'2-Data Input &amp; Assumptions'!C329/1000</f>
        <v>0</v>
      </c>
      <c r="R94" s="21">
        <f>'2-Data Input &amp; Assumptions'!D329/1000</f>
        <v>0</v>
      </c>
      <c r="S94" s="21">
        <f>'2-Data Input &amp; Assumptions'!E329/1000</f>
        <v>0</v>
      </c>
      <c r="T94" s="21">
        <f>'2-Data Input &amp; Assumptions'!F329/1000</f>
        <v>0</v>
      </c>
      <c r="U94" s="21">
        <f>'2-Data Input &amp; Assumptions'!G329/1000</f>
        <v>0</v>
      </c>
      <c r="V94" s="21">
        <f>'2-Data Input &amp; Assumptions'!H329/1000</f>
        <v>0</v>
      </c>
      <c r="W94" s="21">
        <f>'2-Data Input &amp; Assumptions'!I329/1000</f>
        <v>0</v>
      </c>
      <c r="X94" s="21">
        <f>'2-Data Input &amp; Assumptions'!J329/1000</f>
        <v>0</v>
      </c>
      <c r="Y94" s="21">
        <f>'2-Data Input &amp; Assumptions'!K329/1000</f>
        <v>0</v>
      </c>
      <c r="Z94" s="21">
        <f>'2-Data Input &amp; Assumptions'!L329/1000</f>
        <v>0</v>
      </c>
      <c r="AA94" s="21">
        <f>'2-Data Input &amp; Assumptions'!M329/1000</f>
        <v>0</v>
      </c>
      <c r="AB94" s="86">
        <f>'2-Data Input &amp; Assumptions'!N329/1000</f>
        <v>0</v>
      </c>
      <c r="AC94" s="21">
        <f>Q94*(1+'2-Data Input &amp; Assumptions'!$G397)</f>
        <v>0</v>
      </c>
      <c r="AD94" s="21">
        <f>R94*(1+'2-Data Input &amp; Assumptions'!$G397)</f>
        <v>0</v>
      </c>
      <c r="AE94" s="21">
        <f>S94*(1+'2-Data Input &amp; Assumptions'!$G397)</f>
        <v>0</v>
      </c>
      <c r="AF94" s="21">
        <f>T94*(1+'2-Data Input &amp; Assumptions'!$G397)</f>
        <v>0</v>
      </c>
      <c r="AG94" s="21">
        <f>U94*(1+'2-Data Input &amp; Assumptions'!$G397)</f>
        <v>0</v>
      </c>
      <c r="AH94" s="21">
        <f>V94*(1+'2-Data Input &amp; Assumptions'!$G397)</f>
        <v>0</v>
      </c>
      <c r="AI94" s="21">
        <f>W94*(1+'2-Data Input &amp; Assumptions'!$G397)</f>
        <v>0</v>
      </c>
      <c r="AJ94" s="21">
        <f>X94*(1+'2-Data Input &amp; Assumptions'!$G397)</f>
        <v>0</v>
      </c>
      <c r="AK94" s="21">
        <f>Y94*(1+'2-Data Input &amp; Assumptions'!$G397)</f>
        <v>0</v>
      </c>
      <c r="AL94" s="21">
        <f>Z94*(1+'2-Data Input &amp; Assumptions'!$G397)</f>
        <v>0</v>
      </c>
      <c r="AM94" s="21">
        <f>AA94*(1+'2-Data Input &amp; Assumptions'!$G397)</f>
        <v>0</v>
      </c>
      <c r="AN94" s="21">
        <f>AB94*(1+'2-Data Input &amp; Assumptions'!$G397)</f>
        <v>0</v>
      </c>
    </row>
    <row r="95" spans="2:40" x14ac:dyDescent="0.3">
      <c r="B95" s="27"/>
      <c r="C95" s="12"/>
      <c r="D95" s="20" t="str">
        <f>'2-Data Input &amp; Assumptions'!A58</f>
        <v>OTHER EXPENSES/USES</v>
      </c>
      <c r="E95" s="21">
        <f>'2-Data Input &amp; Assumptions'!C261/1000</f>
        <v>0</v>
      </c>
      <c r="F95" s="21">
        <f>'2-Data Input &amp; Assumptions'!D261/1000</f>
        <v>0</v>
      </c>
      <c r="G95" s="21">
        <f>'2-Data Input &amp; Assumptions'!E261/1000</f>
        <v>0</v>
      </c>
      <c r="H95" s="21">
        <f>'2-Data Input &amp; Assumptions'!F261/1000</f>
        <v>0</v>
      </c>
      <c r="I95" s="21">
        <f>'2-Data Input &amp; Assumptions'!G261/1000</f>
        <v>0</v>
      </c>
      <c r="J95" s="21">
        <f>'2-Data Input &amp; Assumptions'!H261/1000</f>
        <v>0</v>
      </c>
      <c r="K95" s="21">
        <f>'2-Data Input &amp; Assumptions'!I261/1000</f>
        <v>0</v>
      </c>
      <c r="L95" s="21">
        <f>'2-Data Input &amp; Assumptions'!J261/1000</f>
        <v>0</v>
      </c>
      <c r="M95" s="21">
        <f>'2-Data Input &amp; Assumptions'!K261/1000</f>
        <v>0</v>
      </c>
      <c r="N95" s="21">
        <f>'2-Data Input &amp; Assumptions'!L261/1000</f>
        <v>0</v>
      </c>
      <c r="O95" s="21">
        <f>'2-Data Input &amp; Assumptions'!M261/1000</f>
        <v>0</v>
      </c>
      <c r="P95" s="86">
        <f>'2-Data Input &amp; Assumptions'!N261/1000</f>
        <v>0</v>
      </c>
      <c r="Q95" s="21">
        <f>'2-Data Input &amp; Assumptions'!C330/1000</f>
        <v>0</v>
      </c>
      <c r="R95" s="21">
        <f>'2-Data Input &amp; Assumptions'!D330/1000</f>
        <v>0</v>
      </c>
      <c r="S95" s="21">
        <f>'2-Data Input &amp; Assumptions'!E330/1000</f>
        <v>0</v>
      </c>
      <c r="T95" s="21">
        <f>'2-Data Input &amp; Assumptions'!F330/1000</f>
        <v>0</v>
      </c>
      <c r="U95" s="21">
        <f>'2-Data Input &amp; Assumptions'!G330/1000</f>
        <v>0</v>
      </c>
      <c r="V95" s="21">
        <f>'2-Data Input &amp; Assumptions'!H330/1000</f>
        <v>0</v>
      </c>
      <c r="W95" s="21">
        <f>'2-Data Input &amp; Assumptions'!I330/1000</f>
        <v>0</v>
      </c>
      <c r="X95" s="21">
        <f>'2-Data Input &amp; Assumptions'!J330/1000</f>
        <v>0</v>
      </c>
      <c r="Y95" s="21">
        <f>'2-Data Input &amp; Assumptions'!K330/1000</f>
        <v>0</v>
      </c>
      <c r="Z95" s="21">
        <f>'2-Data Input &amp; Assumptions'!L330/1000</f>
        <v>0</v>
      </c>
      <c r="AA95" s="21">
        <f>'2-Data Input &amp; Assumptions'!M330/1000</f>
        <v>0</v>
      </c>
      <c r="AB95" s="86">
        <f>'2-Data Input &amp; Assumptions'!N330/1000</f>
        <v>0</v>
      </c>
      <c r="AC95" s="21">
        <f>Q95*(1+'2-Data Input &amp; Assumptions'!$G398)</f>
        <v>0</v>
      </c>
      <c r="AD95" s="21">
        <f>R95*(1+'2-Data Input &amp; Assumptions'!$G398)</f>
        <v>0</v>
      </c>
      <c r="AE95" s="21">
        <f>S95*(1+'2-Data Input &amp; Assumptions'!$G398)</f>
        <v>0</v>
      </c>
      <c r="AF95" s="21">
        <f>T95*(1+'2-Data Input &amp; Assumptions'!$G398)</f>
        <v>0</v>
      </c>
      <c r="AG95" s="21">
        <f>U95*(1+'2-Data Input &amp; Assumptions'!$G398)</f>
        <v>0</v>
      </c>
      <c r="AH95" s="21">
        <f>V95*(1+'2-Data Input &amp; Assumptions'!$G398)</f>
        <v>0</v>
      </c>
      <c r="AI95" s="21">
        <f>W95*(1+'2-Data Input &amp; Assumptions'!$G398)</f>
        <v>0</v>
      </c>
      <c r="AJ95" s="21">
        <f>X95*(1+'2-Data Input &amp; Assumptions'!$G398)</f>
        <v>0</v>
      </c>
      <c r="AK95" s="21">
        <f>Y95*(1+'2-Data Input &amp; Assumptions'!$G398)</f>
        <v>0</v>
      </c>
      <c r="AL95" s="21">
        <f>Z95*(1+'2-Data Input &amp; Assumptions'!$G398)</f>
        <v>0</v>
      </c>
      <c r="AM95" s="21">
        <f>AA95*(1+'2-Data Input &amp; Assumptions'!$G398)</f>
        <v>0</v>
      </c>
      <c r="AN95" s="21">
        <f>AB95*(1+'2-Data Input &amp; Assumptions'!$G398)</f>
        <v>0</v>
      </c>
    </row>
    <row r="96" spans="2:40" x14ac:dyDescent="0.3">
      <c r="B96" s="27"/>
      <c r="C96" s="12"/>
      <c r="D96" s="20" t="str">
        <f>'2-Data Input &amp; Assumptions'!A59</f>
        <v>OTHER EXPENSES/USES</v>
      </c>
      <c r="E96" s="21">
        <f>'2-Data Input &amp; Assumptions'!C262/1000</f>
        <v>0</v>
      </c>
      <c r="F96" s="21">
        <f>'2-Data Input &amp; Assumptions'!D262/1000</f>
        <v>0</v>
      </c>
      <c r="G96" s="21">
        <f>'2-Data Input &amp; Assumptions'!E262/1000</f>
        <v>0</v>
      </c>
      <c r="H96" s="21">
        <f>'2-Data Input &amp; Assumptions'!F262/1000</f>
        <v>0</v>
      </c>
      <c r="I96" s="21">
        <f>'2-Data Input &amp; Assumptions'!G262/1000</f>
        <v>0</v>
      </c>
      <c r="J96" s="21">
        <f>'2-Data Input &amp; Assumptions'!H262/1000</f>
        <v>0</v>
      </c>
      <c r="K96" s="21">
        <f>'2-Data Input &amp; Assumptions'!I262/1000</f>
        <v>0</v>
      </c>
      <c r="L96" s="21">
        <f>'2-Data Input &amp; Assumptions'!J262/1000</f>
        <v>0</v>
      </c>
      <c r="M96" s="21">
        <f>'2-Data Input &amp; Assumptions'!K262/1000</f>
        <v>0</v>
      </c>
      <c r="N96" s="21">
        <f>'2-Data Input &amp; Assumptions'!L262/1000</f>
        <v>0</v>
      </c>
      <c r="O96" s="21">
        <f>'2-Data Input &amp; Assumptions'!M262/1000</f>
        <v>0</v>
      </c>
      <c r="P96" s="86">
        <f>'2-Data Input &amp; Assumptions'!N262/1000</f>
        <v>0</v>
      </c>
      <c r="Q96" s="21">
        <f>'2-Data Input &amp; Assumptions'!C331/1000</f>
        <v>0</v>
      </c>
      <c r="R96" s="21">
        <f>'2-Data Input &amp; Assumptions'!D331/1000</f>
        <v>0</v>
      </c>
      <c r="S96" s="21">
        <f>'2-Data Input &amp; Assumptions'!E331/1000</f>
        <v>0</v>
      </c>
      <c r="T96" s="21">
        <f>'2-Data Input &amp; Assumptions'!F331/1000</f>
        <v>0</v>
      </c>
      <c r="U96" s="21">
        <f>'2-Data Input &amp; Assumptions'!G331/1000</f>
        <v>0</v>
      </c>
      <c r="V96" s="21">
        <f>'2-Data Input &amp; Assumptions'!H331/1000</f>
        <v>0</v>
      </c>
      <c r="W96" s="21">
        <f>'2-Data Input &amp; Assumptions'!I331/1000</f>
        <v>0</v>
      </c>
      <c r="X96" s="21">
        <f>'2-Data Input &amp; Assumptions'!J331/1000</f>
        <v>0</v>
      </c>
      <c r="Y96" s="21">
        <f>'2-Data Input &amp; Assumptions'!K331/1000</f>
        <v>0</v>
      </c>
      <c r="Z96" s="21">
        <f>'2-Data Input &amp; Assumptions'!L331/1000</f>
        <v>0</v>
      </c>
      <c r="AA96" s="21">
        <f>'2-Data Input &amp; Assumptions'!M331/1000</f>
        <v>0</v>
      </c>
      <c r="AB96" s="86">
        <f>'2-Data Input &amp; Assumptions'!N331/1000</f>
        <v>0</v>
      </c>
      <c r="AC96" s="21">
        <f>Q96*(1+'2-Data Input &amp; Assumptions'!$G399)</f>
        <v>0</v>
      </c>
      <c r="AD96" s="21">
        <f>R96*(1+'2-Data Input &amp; Assumptions'!$G399)</f>
        <v>0</v>
      </c>
      <c r="AE96" s="21">
        <f>S96*(1+'2-Data Input &amp; Assumptions'!$G399)</f>
        <v>0</v>
      </c>
      <c r="AF96" s="21">
        <f>T96*(1+'2-Data Input &amp; Assumptions'!$G399)</f>
        <v>0</v>
      </c>
      <c r="AG96" s="21">
        <f>U96*(1+'2-Data Input &amp; Assumptions'!$G399)</f>
        <v>0</v>
      </c>
      <c r="AH96" s="21">
        <f>V96*(1+'2-Data Input &amp; Assumptions'!$G399)</f>
        <v>0</v>
      </c>
      <c r="AI96" s="21">
        <f>W96*(1+'2-Data Input &amp; Assumptions'!$G399)</f>
        <v>0</v>
      </c>
      <c r="AJ96" s="21">
        <f>X96*(1+'2-Data Input &amp; Assumptions'!$G399)</f>
        <v>0</v>
      </c>
      <c r="AK96" s="21">
        <f>Y96*(1+'2-Data Input &amp; Assumptions'!$G399)</f>
        <v>0</v>
      </c>
      <c r="AL96" s="21">
        <f>Z96*(1+'2-Data Input &amp; Assumptions'!$G399)</f>
        <v>0</v>
      </c>
      <c r="AM96" s="21">
        <f>AA96*(1+'2-Data Input &amp; Assumptions'!$G399)</f>
        <v>0</v>
      </c>
      <c r="AN96" s="21">
        <f>AB96*(1+'2-Data Input &amp; Assumptions'!$G399)</f>
        <v>0</v>
      </c>
    </row>
    <row r="97" spans="2:45" x14ac:dyDescent="0.3">
      <c r="B97" s="27"/>
      <c r="C97" s="12"/>
      <c r="D97" s="20" t="str">
        <f>'2-Data Input &amp; Assumptions'!A60</f>
        <v>OTHER EXPENSES/USES</v>
      </c>
      <c r="E97" s="21">
        <f>'2-Data Input &amp; Assumptions'!C263/1000</f>
        <v>0</v>
      </c>
      <c r="F97" s="21">
        <f>'2-Data Input &amp; Assumptions'!D263/1000</f>
        <v>0</v>
      </c>
      <c r="G97" s="21">
        <f>'2-Data Input &amp; Assumptions'!E263/1000</f>
        <v>0</v>
      </c>
      <c r="H97" s="21">
        <f>'2-Data Input &amp; Assumptions'!F263/1000</f>
        <v>0</v>
      </c>
      <c r="I97" s="21">
        <f>'2-Data Input &amp; Assumptions'!G263/1000</f>
        <v>0</v>
      </c>
      <c r="J97" s="21">
        <f>'2-Data Input &amp; Assumptions'!H263/1000</f>
        <v>0</v>
      </c>
      <c r="K97" s="21">
        <f>'2-Data Input &amp; Assumptions'!I263/1000</f>
        <v>0</v>
      </c>
      <c r="L97" s="21">
        <f>'2-Data Input &amp; Assumptions'!J263/1000</f>
        <v>0</v>
      </c>
      <c r="M97" s="21">
        <f>'2-Data Input &amp; Assumptions'!K263/1000</f>
        <v>0</v>
      </c>
      <c r="N97" s="21">
        <f>'2-Data Input &amp; Assumptions'!L263/1000</f>
        <v>0</v>
      </c>
      <c r="O97" s="21">
        <f>'2-Data Input &amp; Assumptions'!M263/1000</f>
        <v>0</v>
      </c>
      <c r="P97" s="86">
        <f>'2-Data Input &amp; Assumptions'!N263/1000</f>
        <v>0</v>
      </c>
      <c r="Q97" s="21">
        <f>'2-Data Input &amp; Assumptions'!C332/1000</f>
        <v>0</v>
      </c>
      <c r="R97" s="21">
        <f>'2-Data Input &amp; Assumptions'!D332/1000</f>
        <v>0</v>
      </c>
      <c r="S97" s="21">
        <f>'2-Data Input &amp; Assumptions'!E332/1000</f>
        <v>0</v>
      </c>
      <c r="T97" s="21">
        <f>'2-Data Input &amp; Assumptions'!F332/1000</f>
        <v>0</v>
      </c>
      <c r="U97" s="21">
        <f>'2-Data Input &amp; Assumptions'!G332/1000</f>
        <v>0</v>
      </c>
      <c r="V97" s="21">
        <f>'2-Data Input &amp; Assumptions'!H332/1000</f>
        <v>0</v>
      </c>
      <c r="W97" s="21">
        <f>'2-Data Input &amp; Assumptions'!I332/1000</f>
        <v>0</v>
      </c>
      <c r="X97" s="21">
        <f>'2-Data Input &amp; Assumptions'!J332/1000</f>
        <v>0</v>
      </c>
      <c r="Y97" s="21">
        <f>'2-Data Input &amp; Assumptions'!K332/1000</f>
        <v>0</v>
      </c>
      <c r="Z97" s="21">
        <f>'2-Data Input &amp; Assumptions'!L332/1000</f>
        <v>0</v>
      </c>
      <c r="AA97" s="21">
        <f>'2-Data Input &amp; Assumptions'!M332/1000</f>
        <v>0</v>
      </c>
      <c r="AB97" s="86">
        <f>'2-Data Input &amp; Assumptions'!N332/1000</f>
        <v>0</v>
      </c>
      <c r="AC97" s="21">
        <f>Q97*(1+'2-Data Input &amp; Assumptions'!$G400)</f>
        <v>0</v>
      </c>
      <c r="AD97" s="21">
        <f>R97*(1+'2-Data Input &amp; Assumptions'!$G400)</f>
        <v>0</v>
      </c>
      <c r="AE97" s="21">
        <f>S97*(1+'2-Data Input &amp; Assumptions'!$G400)</f>
        <v>0</v>
      </c>
      <c r="AF97" s="21">
        <f>T97*(1+'2-Data Input &amp; Assumptions'!$G400)</f>
        <v>0</v>
      </c>
      <c r="AG97" s="21">
        <f>U97*(1+'2-Data Input &amp; Assumptions'!$G400)</f>
        <v>0</v>
      </c>
      <c r="AH97" s="21">
        <f>V97*(1+'2-Data Input &amp; Assumptions'!$G400)</f>
        <v>0</v>
      </c>
      <c r="AI97" s="21">
        <f>W97*(1+'2-Data Input &amp; Assumptions'!$G400)</f>
        <v>0</v>
      </c>
      <c r="AJ97" s="21">
        <f>X97*(1+'2-Data Input &amp; Assumptions'!$G400)</f>
        <v>0</v>
      </c>
      <c r="AK97" s="21">
        <f>Y97*(1+'2-Data Input &amp; Assumptions'!$G400)</f>
        <v>0</v>
      </c>
      <c r="AL97" s="21">
        <f>Z97*(1+'2-Data Input &amp; Assumptions'!$G400)</f>
        <v>0</v>
      </c>
      <c r="AM97" s="21">
        <f>AA97*(1+'2-Data Input &amp; Assumptions'!$G400)</f>
        <v>0</v>
      </c>
      <c r="AN97" s="21">
        <f>AB97*(1+'2-Data Input &amp; Assumptions'!$G400)</f>
        <v>0</v>
      </c>
    </row>
    <row r="98" spans="2:45" x14ac:dyDescent="0.3">
      <c r="B98" s="27"/>
      <c r="C98" s="12"/>
      <c r="D98" s="20" t="str">
        <f>'2-Data Input &amp; Assumptions'!A61</f>
        <v>OTHER EXPENSES/USES</v>
      </c>
      <c r="E98" s="21">
        <f>'2-Data Input &amp; Assumptions'!C264/1000</f>
        <v>0</v>
      </c>
      <c r="F98" s="21">
        <f>'2-Data Input &amp; Assumptions'!D264/1000</f>
        <v>0</v>
      </c>
      <c r="G98" s="21">
        <f>'2-Data Input &amp; Assumptions'!E264/1000</f>
        <v>0</v>
      </c>
      <c r="H98" s="21">
        <f>'2-Data Input &amp; Assumptions'!F264/1000</f>
        <v>0</v>
      </c>
      <c r="I98" s="21">
        <f>'2-Data Input &amp; Assumptions'!G264/1000</f>
        <v>0</v>
      </c>
      <c r="J98" s="21">
        <f>'2-Data Input &amp; Assumptions'!H264/1000</f>
        <v>0</v>
      </c>
      <c r="K98" s="21">
        <f>'2-Data Input &amp; Assumptions'!I264/1000</f>
        <v>0</v>
      </c>
      <c r="L98" s="21">
        <f>'2-Data Input &amp; Assumptions'!J264/1000</f>
        <v>0</v>
      </c>
      <c r="M98" s="21">
        <f>'2-Data Input &amp; Assumptions'!K264/1000</f>
        <v>0</v>
      </c>
      <c r="N98" s="21">
        <f>'2-Data Input &amp; Assumptions'!L264/1000</f>
        <v>0</v>
      </c>
      <c r="O98" s="21">
        <f>'2-Data Input &amp; Assumptions'!M264/1000</f>
        <v>0</v>
      </c>
      <c r="P98" s="86">
        <f>'2-Data Input &amp; Assumptions'!N264/1000</f>
        <v>0</v>
      </c>
      <c r="Q98" s="21">
        <f>'2-Data Input &amp; Assumptions'!C333/1000</f>
        <v>0</v>
      </c>
      <c r="R98" s="21">
        <f>'2-Data Input &amp; Assumptions'!D333/1000</f>
        <v>0</v>
      </c>
      <c r="S98" s="21">
        <f>'2-Data Input &amp; Assumptions'!E333/1000</f>
        <v>0</v>
      </c>
      <c r="T98" s="21">
        <f>'2-Data Input &amp; Assumptions'!F333/1000</f>
        <v>0</v>
      </c>
      <c r="U98" s="21">
        <f>'2-Data Input &amp; Assumptions'!G333/1000</f>
        <v>0</v>
      </c>
      <c r="V98" s="21">
        <f>'2-Data Input &amp; Assumptions'!H333/1000</f>
        <v>0</v>
      </c>
      <c r="W98" s="21">
        <f>'2-Data Input &amp; Assumptions'!I333/1000</f>
        <v>0</v>
      </c>
      <c r="X98" s="21">
        <f>'2-Data Input &amp; Assumptions'!J333/1000</f>
        <v>0</v>
      </c>
      <c r="Y98" s="21">
        <f>'2-Data Input &amp; Assumptions'!K333/1000</f>
        <v>0</v>
      </c>
      <c r="Z98" s="21">
        <f>'2-Data Input &amp; Assumptions'!L333/1000</f>
        <v>0</v>
      </c>
      <c r="AA98" s="21">
        <f>'2-Data Input &amp; Assumptions'!M333/1000</f>
        <v>0</v>
      </c>
      <c r="AB98" s="86">
        <f>'2-Data Input &amp; Assumptions'!N333/1000</f>
        <v>0</v>
      </c>
      <c r="AC98" s="21">
        <f>Q98*(1+'2-Data Input &amp; Assumptions'!$G401)</f>
        <v>0</v>
      </c>
      <c r="AD98" s="21">
        <f>R98*(1+'2-Data Input &amp; Assumptions'!$G401)</f>
        <v>0</v>
      </c>
      <c r="AE98" s="21">
        <f>S98*(1+'2-Data Input &amp; Assumptions'!$G401)</f>
        <v>0</v>
      </c>
      <c r="AF98" s="21">
        <f>T98*(1+'2-Data Input &amp; Assumptions'!$G401)</f>
        <v>0</v>
      </c>
      <c r="AG98" s="21">
        <f>U98*(1+'2-Data Input &amp; Assumptions'!$G401)</f>
        <v>0</v>
      </c>
      <c r="AH98" s="21">
        <f>V98*(1+'2-Data Input &amp; Assumptions'!$G401)</f>
        <v>0</v>
      </c>
      <c r="AI98" s="21">
        <f>W98*(1+'2-Data Input &amp; Assumptions'!$G401)</f>
        <v>0</v>
      </c>
      <c r="AJ98" s="21">
        <f>X98*(1+'2-Data Input &amp; Assumptions'!$G401)</f>
        <v>0</v>
      </c>
      <c r="AK98" s="21">
        <f>Y98*(1+'2-Data Input &amp; Assumptions'!$G401)</f>
        <v>0</v>
      </c>
      <c r="AL98" s="21">
        <f>Z98*(1+'2-Data Input &amp; Assumptions'!$G401)</f>
        <v>0</v>
      </c>
      <c r="AM98" s="21">
        <f>AA98*(1+'2-Data Input &amp; Assumptions'!$G401)</f>
        <v>0</v>
      </c>
      <c r="AN98" s="21">
        <f>AB98*(1+'2-Data Input &amp; Assumptions'!$G401)</f>
        <v>0</v>
      </c>
    </row>
    <row r="99" spans="2:45" x14ac:dyDescent="0.3">
      <c r="B99" s="27"/>
      <c r="C99" s="12"/>
      <c r="D99" s="20" t="str">
        <f>'2-Data Input &amp; Assumptions'!A62</f>
        <v>OTHER EXPENSES/USES</v>
      </c>
      <c r="E99" s="21">
        <f>'2-Data Input &amp; Assumptions'!C265/1000</f>
        <v>0</v>
      </c>
      <c r="F99" s="21">
        <f>'2-Data Input &amp; Assumptions'!D265/1000</f>
        <v>0</v>
      </c>
      <c r="G99" s="21">
        <f>'2-Data Input &amp; Assumptions'!E265/1000</f>
        <v>0</v>
      </c>
      <c r="H99" s="21">
        <f>'2-Data Input &amp; Assumptions'!F265/1000</f>
        <v>0</v>
      </c>
      <c r="I99" s="21">
        <f>'2-Data Input &amp; Assumptions'!G265/1000</f>
        <v>0</v>
      </c>
      <c r="J99" s="21">
        <f>'2-Data Input &amp; Assumptions'!H265/1000</f>
        <v>0</v>
      </c>
      <c r="K99" s="21">
        <f>'2-Data Input &amp; Assumptions'!I265/1000</f>
        <v>0</v>
      </c>
      <c r="L99" s="21">
        <f>'2-Data Input &amp; Assumptions'!J265/1000</f>
        <v>0</v>
      </c>
      <c r="M99" s="21">
        <f>'2-Data Input &amp; Assumptions'!K265/1000</f>
        <v>0</v>
      </c>
      <c r="N99" s="21">
        <f>'2-Data Input &amp; Assumptions'!L265/1000</f>
        <v>0</v>
      </c>
      <c r="O99" s="21">
        <f>'2-Data Input &amp; Assumptions'!M265/1000</f>
        <v>0</v>
      </c>
      <c r="P99" s="86">
        <f>'2-Data Input &amp; Assumptions'!N265/1000</f>
        <v>0</v>
      </c>
      <c r="Q99" s="21">
        <f>'2-Data Input &amp; Assumptions'!C334/1000</f>
        <v>0</v>
      </c>
      <c r="R99" s="21">
        <f>'2-Data Input &amp; Assumptions'!D334/1000</f>
        <v>0</v>
      </c>
      <c r="S99" s="21">
        <f>'2-Data Input &amp; Assumptions'!E334/1000</f>
        <v>0</v>
      </c>
      <c r="T99" s="21">
        <f>'2-Data Input &amp; Assumptions'!F334/1000</f>
        <v>0</v>
      </c>
      <c r="U99" s="21">
        <f>'2-Data Input &amp; Assumptions'!G334/1000</f>
        <v>0</v>
      </c>
      <c r="V99" s="21">
        <f>'2-Data Input &amp; Assumptions'!H334/1000</f>
        <v>0</v>
      </c>
      <c r="W99" s="21">
        <f>'2-Data Input &amp; Assumptions'!I334/1000</f>
        <v>0</v>
      </c>
      <c r="X99" s="21">
        <f>'2-Data Input &amp; Assumptions'!J334/1000</f>
        <v>0</v>
      </c>
      <c r="Y99" s="21">
        <f>'2-Data Input &amp; Assumptions'!K334/1000</f>
        <v>0</v>
      </c>
      <c r="Z99" s="21">
        <f>'2-Data Input &amp; Assumptions'!L334/1000</f>
        <v>0</v>
      </c>
      <c r="AA99" s="21">
        <f>'2-Data Input &amp; Assumptions'!M334/1000</f>
        <v>0</v>
      </c>
      <c r="AB99" s="86">
        <f>'2-Data Input &amp; Assumptions'!N334/1000</f>
        <v>0</v>
      </c>
      <c r="AC99" s="21">
        <f>Q99*(1+'2-Data Input &amp; Assumptions'!$G402)</f>
        <v>0</v>
      </c>
      <c r="AD99" s="21">
        <f>R99*(1+'2-Data Input &amp; Assumptions'!$G402)</f>
        <v>0</v>
      </c>
      <c r="AE99" s="21">
        <f>S99*(1+'2-Data Input &amp; Assumptions'!$G402)</f>
        <v>0</v>
      </c>
      <c r="AF99" s="21">
        <f>T99*(1+'2-Data Input &amp; Assumptions'!$G402)</f>
        <v>0</v>
      </c>
      <c r="AG99" s="21">
        <f>U99*(1+'2-Data Input &amp; Assumptions'!$G402)</f>
        <v>0</v>
      </c>
      <c r="AH99" s="21">
        <f>V99*(1+'2-Data Input &amp; Assumptions'!$G402)</f>
        <v>0</v>
      </c>
      <c r="AI99" s="21">
        <f>W99*(1+'2-Data Input &amp; Assumptions'!$G402)</f>
        <v>0</v>
      </c>
      <c r="AJ99" s="21">
        <f>X99*(1+'2-Data Input &amp; Assumptions'!$G402)</f>
        <v>0</v>
      </c>
      <c r="AK99" s="21">
        <f>Y99*(1+'2-Data Input &amp; Assumptions'!$G402)</f>
        <v>0</v>
      </c>
      <c r="AL99" s="21">
        <f>Z99*(1+'2-Data Input &amp; Assumptions'!$G402)</f>
        <v>0</v>
      </c>
      <c r="AM99" s="21">
        <f>AA99*(1+'2-Data Input &amp; Assumptions'!$G402)</f>
        <v>0</v>
      </c>
      <c r="AN99" s="21">
        <f>AB99*(1+'2-Data Input &amp; Assumptions'!$G402)</f>
        <v>0</v>
      </c>
    </row>
    <row r="100" spans="2:45" x14ac:dyDescent="0.3">
      <c r="B100" s="27"/>
      <c r="C100" s="12"/>
      <c r="D100" s="20" t="str">
        <f>'2-Data Input &amp; Assumptions'!A63</f>
        <v>OTHER EXPENSES/USES</v>
      </c>
      <c r="E100" s="21">
        <f>'2-Data Input &amp; Assumptions'!C266/1000</f>
        <v>0</v>
      </c>
      <c r="F100" s="21">
        <f>'2-Data Input &amp; Assumptions'!D266/1000</f>
        <v>0</v>
      </c>
      <c r="G100" s="21">
        <f>'2-Data Input &amp; Assumptions'!E266/1000</f>
        <v>0</v>
      </c>
      <c r="H100" s="21">
        <f>'2-Data Input &amp; Assumptions'!F266/1000</f>
        <v>0</v>
      </c>
      <c r="I100" s="21">
        <f>'2-Data Input &amp; Assumptions'!G266/1000</f>
        <v>0</v>
      </c>
      <c r="J100" s="21">
        <f>'2-Data Input &amp; Assumptions'!H266/1000</f>
        <v>0</v>
      </c>
      <c r="K100" s="21">
        <f>'2-Data Input &amp; Assumptions'!I266/1000</f>
        <v>0</v>
      </c>
      <c r="L100" s="21">
        <f>'2-Data Input &amp; Assumptions'!J266/1000</f>
        <v>0</v>
      </c>
      <c r="M100" s="21">
        <f>'2-Data Input &amp; Assumptions'!K266/1000</f>
        <v>0</v>
      </c>
      <c r="N100" s="21">
        <f>'2-Data Input &amp; Assumptions'!L266/1000</f>
        <v>0</v>
      </c>
      <c r="O100" s="21">
        <f>'2-Data Input &amp; Assumptions'!M266/1000</f>
        <v>0</v>
      </c>
      <c r="P100" s="86">
        <f>'2-Data Input &amp; Assumptions'!N266/1000</f>
        <v>0</v>
      </c>
      <c r="Q100" s="21">
        <f>'2-Data Input &amp; Assumptions'!C335/1000</f>
        <v>0</v>
      </c>
      <c r="R100" s="21">
        <f>'2-Data Input &amp; Assumptions'!D335/1000</f>
        <v>0</v>
      </c>
      <c r="S100" s="21">
        <f>'2-Data Input &amp; Assumptions'!E335/1000</f>
        <v>0</v>
      </c>
      <c r="T100" s="21">
        <f>'2-Data Input &amp; Assumptions'!F335/1000</f>
        <v>0</v>
      </c>
      <c r="U100" s="21">
        <f>'2-Data Input &amp; Assumptions'!G335/1000</f>
        <v>0</v>
      </c>
      <c r="V100" s="21">
        <f>'2-Data Input &amp; Assumptions'!H335/1000</f>
        <v>0</v>
      </c>
      <c r="W100" s="21">
        <f>'2-Data Input &amp; Assumptions'!I335/1000</f>
        <v>0</v>
      </c>
      <c r="X100" s="21">
        <f>'2-Data Input &amp; Assumptions'!J335/1000</f>
        <v>0</v>
      </c>
      <c r="Y100" s="21">
        <f>'2-Data Input &amp; Assumptions'!K335/1000</f>
        <v>0</v>
      </c>
      <c r="Z100" s="21">
        <f>'2-Data Input &amp; Assumptions'!L335/1000</f>
        <v>0</v>
      </c>
      <c r="AA100" s="21">
        <f>'2-Data Input &amp; Assumptions'!M335/1000</f>
        <v>0</v>
      </c>
      <c r="AB100" s="86">
        <f>'2-Data Input &amp; Assumptions'!N335/1000</f>
        <v>0</v>
      </c>
      <c r="AC100" s="21">
        <f>Q100*(1+'2-Data Input &amp; Assumptions'!$G403)</f>
        <v>0</v>
      </c>
      <c r="AD100" s="21">
        <f>R100*(1+'2-Data Input &amp; Assumptions'!$G403)</f>
        <v>0</v>
      </c>
      <c r="AE100" s="21">
        <f>S100*(1+'2-Data Input &amp; Assumptions'!$G403)</f>
        <v>0</v>
      </c>
      <c r="AF100" s="21">
        <f>T100*(1+'2-Data Input &amp; Assumptions'!$G403)</f>
        <v>0</v>
      </c>
      <c r="AG100" s="21">
        <f>U100*(1+'2-Data Input &amp; Assumptions'!$G403)</f>
        <v>0</v>
      </c>
      <c r="AH100" s="21">
        <f>V100*(1+'2-Data Input &amp; Assumptions'!$G403)</f>
        <v>0</v>
      </c>
      <c r="AI100" s="21">
        <f>W100*(1+'2-Data Input &amp; Assumptions'!$G403)</f>
        <v>0</v>
      </c>
      <c r="AJ100" s="21">
        <f>X100*(1+'2-Data Input &amp; Assumptions'!$G403)</f>
        <v>0</v>
      </c>
      <c r="AK100" s="21">
        <f>Y100*(1+'2-Data Input &amp; Assumptions'!$G403)</f>
        <v>0</v>
      </c>
      <c r="AL100" s="21">
        <f>Z100*(1+'2-Data Input &amp; Assumptions'!$G403)</f>
        <v>0</v>
      </c>
      <c r="AM100" s="21">
        <f>AA100*(1+'2-Data Input &amp; Assumptions'!$G403)</f>
        <v>0</v>
      </c>
      <c r="AN100" s="21">
        <f>AB100*(1+'2-Data Input &amp; Assumptions'!$G403)</f>
        <v>0</v>
      </c>
    </row>
    <row r="101" spans="2:45" x14ac:dyDescent="0.3">
      <c r="B101" s="27"/>
      <c r="C101" s="12"/>
      <c r="D101" s="20" t="str">
        <f>'2-Data Input &amp; Assumptions'!A64</f>
        <v>OTHER EXPENSES/USES</v>
      </c>
      <c r="E101" s="21">
        <f>'2-Data Input &amp; Assumptions'!C267/1000</f>
        <v>0</v>
      </c>
      <c r="F101" s="21">
        <f>'2-Data Input &amp; Assumptions'!D267/1000</f>
        <v>0</v>
      </c>
      <c r="G101" s="21">
        <f>'2-Data Input &amp; Assumptions'!E267/1000</f>
        <v>0</v>
      </c>
      <c r="H101" s="21">
        <f>'2-Data Input &amp; Assumptions'!F267/1000</f>
        <v>0</v>
      </c>
      <c r="I101" s="21">
        <f>'2-Data Input &amp; Assumptions'!G267/1000</f>
        <v>0</v>
      </c>
      <c r="J101" s="21">
        <f>'2-Data Input &amp; Assumptions'!H267/1000</f>
        <v>0</v>
      </c>
      <c r="K101" s="21">
        <f>'2-Data Input &amp; Assumptions'!I267/1000</f>
        <v>0</v>
      </c>
      <c r="L101" s="21">
        <f>'2-Data Input &amp; Assumptions'!J267/1000</f>
        <v>0</v>
      </c>
      <c r="M101" s="21">
        <f>'2-Data Input &amp; Assumptions'!K267/1000</f>
        <v>0</v>
      </c>
      <c r="N101" s="21">
        <f>'2-Data Input &amp; Assumptions'!L267/1000</f>
        <v>0</v>
      </c>
      <c r="O101" s="21">
        <f>'2-Data Input &amp; Assumptions'!M267/1000</f>
        <v>0</v>
      </c>
      <c r="P101" s="86">
        <f>'2-Data Input &amp; Assumptions'!N267/1000</f>
        <v>0</v>
      </c>
      <c r="Q101" s="21">
        <f>'2-Data Input &amp; Assumptions'!C336/1000</f>
        <v>0</v>
      </c>
      <c r="R101" s="21">
        <f>'2-Data Input &amp; Assumptions'!D336/1000</f>
        <v>0</v>
      </c>
      <c r="S101" s="21">
        <f>'2-Data Input &amp; Assumptions'!E336/1000</f>
        <v>0</v>
      </c>
      <c r="T101" s="21">
        <f>'2-Data Input &amp; Assumptions'!F336/1000</f>
        <v>0</v>
      </c>
      <c r="U101" s="21">
        <f>'2-Data Input &amp; Assumptions'!G336/1000</f>
        <v>0</v>
      </c>
      <c r="V101" s="21">
        <f>'2-Data Input &amp; Assumptions'!H336/1000</f>
        <v>0</v>
      </c>
      <c r="W101" s="21">
        <f>'2-Data Input &amp; Assumptions'!I336/1000</f>
        <v>0</v>
      </c>
      <c r="X101" s="21">
        <f>'2-Data Input &amp; Assumptions'!J336/1000</f>
        <v>0</v>
      </c>
      <c r="Y101" s="21">
        <f>'2-Data Input &amp; Assumptions'!K336/1000</f>
        <v>0</v>
      </c>
      <c r="Z101" s="21">
        <f>'2-Data Input &amp; Assumptions'!L336/1000</f>
        <v>0</v>
      </c>
      <c r="AA101" s="21">
        <f>'2-Data Input &amp; Assumptions'!M336/1000</f>
        <v>0</v>
      </c>
      <c r="AB101" s="86">
        <f>'2-Data Input &amp; Assumptions'!N336/1000</f>
        <v>0</v>
      </c>
      <c r="AC101" s="21">
        <f>Q101*(1+'2-Data Input &amp; Assumptions'!$G404)</f>
        <v>0</v>
      </c>
      <c r="AD101" s="21">
        <f>R101*(1+'2-Data Input &amp; Assumptions'!$G404)</f>
        <v>0</v>
      </c>
      <c r="AE101" s="21">
        <f>S101*(1+'2-Data Input &amp; Assumptions'!$G404)</f>
        <v>0</v>
      </c>
      <c r="AF101" s="21">
        <f>T101*(1+'2-Data Input &amp; Assumptions'!$G404)</f>
        <v>0</v>
      </c>
      <c r="AG101" s="21">
        <f>U101*(1+'2-Data Input &amp; Assumptions'!$G404)</f>
        <v>0</v>
      </c>
      <c r="AH101" s="21">
        <f>V101*(1+'2-Data Input &amp; Assumptions'!$G404)</f>
        <v>0</v>
      </c>
      <c r="AI101" s="21">
        <f>W101*(1+'2-Data Input &amp; Assumptions'!$G404)</f>
        <v>0</v>
      </c>
      <c r="AJ101" s="21">
        <f>X101*(1+'2-Data Input &amp; Assumptions'!$G404)</f>
        <v>0</v>
      </c>
      <c r="AK101" s="21">
        <f>Y101*(1+'2-Data Input &amp; Assumptions'!$G404)</f>
        <v>0</v>
      </c>
      <c r="AL101" s="21">
        <f>Z101*(1+'2-Data Input &amp; Assumptions'!$G404)</f>
        <v>0</v>
      </c>
      <c r="AM101" s="21">
        <f>AA101*(1+'2-Data Input &amp; Assumptions'!$G404)</f>
        <v>0</v>
      </c>
      <c r="AN101" s="21">
        <f>AB101*(1+'2-Data Input &amp; Assumptions'!$G404)</f>
        <v>0</v>
      </c>
    </row>
    <row r="102" spans="2:45" x14ac:dyDescent="0.3">
      <c r="B102" s="27"/>
      <c r="C102" s="12"/>
      <c r="D102" s="20" t="str">
        <f>'2-Data Input &amp; Assumptions'!A65</f>
        <v>OTHER EXPENSES/USES</v>
      </c>
      <c r="E102" s="21">
        <f>'2-Data Input &amp; Assumptions'!C268/1000</f>
        <v>0</v>
      </c>
      <c r="F102" s="21">
        <f>'2-Data Input &amp; Assumptions'!D268/1000</f>
        <v>0</v>
      </c>
      <c r="G102" s="21">
        <f>'2-Data Input &amp; Assumptions'!E268/1000</f>
        <v>0</v>
      </c>
      <c r="H102" s="21">
        <f>'2-Data Input &amp; Assumptions'!F268/1000</f>
        <v>0</v>
      </c>
      <c r="I102" s="21">
        <f>'2-Data Input &amp; Assumptions'!G268/1000</f>
        <v>0</v>
      </c>
      <c r="J102" s="21">
        <f>'2-Data Input &amp; Assumptions'!H268/1000</f>
        <v>0</v>
      </c>
      <c r="K102" s="21">
        <f>'2-Data Input &amp; Assumptions'!I268/1000</f>
        <v>0</v>
      </c>
      <c r="L102" s="21">
        <f>'2-Data Input &amp; Assumptions'!J268/1000</f>
        <v>0</v>
      </c>
      <c r="M102" s="21">
        <f>'2-Data Input &amp; Assumptions'!K268/1000</f>
        <v>0</v>
      </c>
      <c r="N102" s="21">
        <f>'2-Data Input &amp; Assumptions'!L268/1000</f>
        <v>0</v>
      </c>
      <c r="O102" s="21">
        <f>'2-Data Input &amp; Assumptions'!M268/1000</f>
        <v>0</v>
      </c>
      <c r="P102" s="86">
        <f>'2-Data Input &amp; Assumptions'!N268/1000</f>
        <v>0</v>
      </c>
      <c r="Q102" s="21">
        <f>'2-Data Input &amp; Assumptions'!C337/1000</f>
        <v>0</v>
      </c>
      <c r="R102" s="21">
        <f>'2-Data Input &amp; Assumptions'!D337/1000</f>
        <v>0</v>
      </c>
      <c r="S102" s="21">
        <f>'2-Data Input &amp; Assumptions'!E337/1000</f>
        <v>0</v>
      </c>
      <c r="T102" s="21">
        <f>'2-Data Input &amp; Assumptions'!F337/1000</f>
        <v>0</v>
      </c>
      <c r="U102" s="21">
        <f>'2-Data Input &amp; Assumptions'!G337/1000</f>
        <v>0</v>
      </c>
      <c r="V102" s="21">
        <f>'2-Data Input &amp; Assumptions'!H337/1000</f>
        <v>0</v>
      </c>
      <c r="W102" s="21">
        <f>'2-Data Input &amp; Assumptions'!I337/1000</f>
        <v>0</v>
      </c>
      <c r="X102" s="21">
        <f>'2-Data Input &amp; Assumptions'!J337/1000</f>
        <v>0</v>
      </c>
      <c r="Y102" s="21">
        <f>'2-Data Input &amp; Assumptions'!K337/1000</f>
        <v>0</v>
      </c>
      <c r="Z102" s="21">
        <f>'2-Data Input &amp; Assumptions'!L337/1000</f>
        <v>0</v>
      </c>
      <c r="AA102" s="21">
        <f>'2-Data Input &amp; Assumptions'!M337/1000</f>
        <v>0</v>
      </c>
      <c r="AB102" s="86">
        <f>'2-Data Input &amp; Assumptions'!N337/1000</f>
        <v>0</v>
      </c>
      <c r="AC102" s="21">
        <f>Q102*(1+'2-Data Input &amp; Assumptions'!$G405)</f>
        <v>0</v>
      </c>
      <c r="AD102" s="21">
        <f>R102*(1+'2-Data Input &amp; Assumptions'!$G405)</f>
        <v>0</v>
      </c>
      <c r="AE102" s="21">
        <f>S102*(1+'2-Data Input &amp; Assumptions'!$G405)</f>
        <v>0</v>
      </c>
      <c r="AF102" s="21">
        <f>T102*(1+'2-Data Input &amp; Assumptions'!$G405)</f>
        <v>0</v>
      </c>
      <c r="AG102" s="21">
        <f>U102*(1+'2-Data Input &amp; Assumptions'!$G405)</f>
        <v>0</v>
      </c>
      <c r="AH102" s="21">
        <f>V102*(1+'2-Data Input &amp; Assumptions'!$G405)</f>
        <v>0</v>
      </c>
      <c r="AI102" s="21">
        <f>W102*(1+'2-Data Input &amp; Assumptions'!$G405)</f>
        <v>0</v>
      </c>
      <c r="AJ102" s="21">
        <f>X102*(1+'2-Data Input &amp; Assumptions'!$G405)</f>
        <v>0</v>
      </c>
      <c r="AK102" s="21">
        <f>Y102*(1+'2-Data Input &amp; Assumptions'!$G405)</f>
        <v>0</v>
      </c>
      <c r="AL102" s="21">
        <f>Z102*(1+'2-Data Input &amp; Assumptions'!$G405)</f>
        <v>0</v>
      </c>
      <c r="AM102" s="21">
        <f>AA102*(1+'2-Data Input &amp; Assumptions'!$G405)</f>
        <v>0</v>
      </c>
      <c r="AN102" s="21">
        <f>AB102*(1+'2-Data Input &amp; Assumptions'!$G405)</f>
        <v>0</v>
      </c>
    </row>
    <row r="103" spans="2:45" x14ac:dyDescent="0.3">
      <c r="B103" s="27"/>
      <c r="C103" s="12"/>
      <c r="D103" s="20" t="str">
        <f>'2-Data Input &amp; Assumptions'!A66</f>
        <v>OTHER EXPENSES/USES</v>
      </c>
      <c r="E103" s="21">
        <f>'2-Data Input &amp; Assumptions'!C269/1000</f>
        <v>0</v>
      </c>
      <c r="F103" s="21">
        <f>'2-Data Input &amp; Assumptions'!D269/1000</f>
        <v>0</v>
      </c>
      <c r="G103" s="21">
        <f>'2-Data Input &amp; Assumptions'!E269/1000</f>
        <v>0</v>
      </c>
      <c r="H103" s="21">
        <f>'2-Data Input &amp; Assumptions'!F269/1000</f>
        <v>0</v>
      </c>
      <c r="I103" s="21">
        <f>'2-Data Input &amp; Assumptions'!G269/1000</f>
        <v>0</v>
      </c>
      <c r="J103" s="21">
        <f>'2-Data Input &amp; Assumptions'!H269/1000</f>
        <v>0</v>
      </c>
      <c r="K103" s="21">
        <f>'2-Data Input &amp; Assumptions'!I269/1000</f>
        <v>0</v>
      </c>
      <c r="L103" s="21">
        <f>'2-Data Input &amp; Assumptions'!J269/1000</f>
        <v>0</v>
      </c>
      <c r="M103" s="21">
        <f>'2-Data Input &amp; Assumptions'!K269/1000</f>
        <v>0</v>
      </c>
      <c r="N103" s="21">
        <f>'2-Data Input &amp; Assumptions'!L269/1000</f>
        <v>0</v>
      </c>
      <c r="O103" s="21">
        <f>'2-Data Input &amp; Assumptions'!M269/1000</f>
        <v>0</v>
      </c>
      <c r="P103" s="86">
        <f>'2-Data Input &amp; Assumptions'!N269/1000</f>
        <v>0</v>
      </c>
      <c r="Q103" s="21">
        <f>'2-Data Input &amp; Assumptions'!C338/1000</f>
        <v>0</v>
      </c>
      <c r="R103" s="21">
        <f>'2-Data Input &amp; Assumptions'!D338/1000</f>
        <v>0</v>
      </c>
      <c r="S103" s="21">
        <f>'2-Data Input &amp; Assumptions'!E338/1000</f>
        <v>0</v>
      </c>
      <c r="T103" s="21">
        <f>'2-Data Input &amp; Assumptions'!F338/1000</f>
        <v>0</v>
      </c>
      <c r="U103" s="21">
        <f>'2-Data Input &amp; Assumptions'!G338/1000</f>
        <v>0</v>
      </c>
      <c r="V103" s="21">
        <f>'2-Data Input &amp; Assumptions'!H338/1000</f>
        <v>0</v>
      </c>
      <c r="W103" s="21">
        <f>'2-Data Input &amp; Assumptions'!I338/1000</f>
        <v>0</v>
      </c>
      <c r="X103" s="21">
        <f>'2-Data Input &amp; Assumptions'!J338/1000</f>
        <v>0</v>
      </c>
      <c r="Y103" s="21">
        <f>'2-Data Input &amp; Assumptions'!K338/1000</f>
        <v>0</v>
      </c>
      <c r="Z103" s="21">
        <f>'2-Data Input &amp; Assumptions'!L338/1000</f>
        <v>0</v>
      </c>
      <c r="AA103" s="21">
        <f>'2-Data Input &amp; Assumptions'!M338/1000</f>
        <v>0</v>
      </c>
      <c r="AB103" s="86">
        <f>'2-Data Input &amp; Assumptions'!N338/1000</f>
        <v>0</v>
      </c>
      <c r="AC103" s="21">
        <f>Q103*(1+'2-Data Input &amp; Assumptions'!$G406)</f>
        <v>0</v>
      </c>
      <c r="AD103" s="21">
        <f>R103*(1+'2-Data Input &amp; Assumptions'!$G406)</f>
        <v>0</v>
      </c>
      <c r="AE103" s="21">
        <f>S103*(1+'2-Data Input &amp; Assumptions'!$G406)</f>
        <v>0</v>
      </c>
      <c r="AF103" s="21">
        <f>T103*(1+'2-Data Input &amp; Assumptions'!$G406)</f>
        <v>0</v>
      </c>
      <c r="AG103" s="21">
        <f>U103*(1+'2-Data Input &amp; Assumptions'!$G406)</f>
        <v>0</v>
      </c>
      <c r="AH103" s="21">
        <f>V103*(1+'2-Data Input &amp; Assumptions'!$G406)</f>
        <v>0</v>
      </c>
      <c r="AI103" s="21">
        <f>W103*(1+'2-Data Input &amp; Assumptions'!$G406)</f>
        <v>0</v>
      </c>
      <c r="AJ103" s="21">
        <f>X103*(1+'2-Data Input &amp; Assumptions'!$G406)</f>
        <v>0</v>
      </c>
      <c r="AK103" s="21">
        <f>Y103*(1+'2-Data Input &amp; Assumptions'!$G406)</f>
        <v>0</v>
      </c>
      <c r="AL103" s="21">
        <f>Z103*(1+'2-Data Input &amp; Assumptions'!$G406)</f>
        <v>0</v>
      </c>
      <c r="AM103" s="21">
        <f>AA103*(1+'2-Data Input &amp; Assumptions'!$G406)</f>
        <v>0</v>
      </c>
      <c r="AN103" s="21">
        <f>AB103*(1+'2-Data Input &amp; Assumptions'!$G406)</f>
        <v>0</v>
      </c>
    </row>
    <row r="104" spans="2:45" x14ac:dyDescent="0.3">
      <c r="B104" s="27"/>
      <c r="C104" s="12"/>
      <c r="D104" s="20" t="str">
        <f>'2-Data Input &amp; Assumptions'!A67</f>
        <v>OTHER EXPENSES/USES</v>
      </c>
      <c r="E104" s="21">
        <f>'2-Data Input &amp; Assumptions'!C270/1000</f>
        <v>0</v>
      </c>
      <c r="F104" s="21">
        <f>'2-Data Input &amp; Assumptions'!D270/1000</f>
        <v>0</v>
      </c>
      <c r="G104" s="21">
        <f>'2-Data Input &amp; Assumptions'!E270/1000</f>
        <v>0</v>
      </c>
      <c r="H104" s="21">
        <f>'2-Data Input &amp; Assumptions'!F270/1000</f>
        <v>0</v>
      </c>
      <c r="I104" s="21">
        <f>'2-Data Input &amp; Assumptions'!G270/1000</f>
        <v>0</v>
      </c>
      <c r="J104" s="21">
        <f>'2-Data Input &amp; Assumptions'!H270/1000</f>
        <v>0</v>
      </c>
      <c r="K104" s="21">
        <f>'2-Data Input &amp; Assumptions'!I270/1000</f>
        <v>0</v>
      </c>
      <c r="L104" s="21">
        <f>'2-Data Input &amp; Assumptions'!J270/1000</f>
        <v>0</v>
      </c>
      <c r="M104" s="21">
        <f>'2-Data Input &amp; Assumptions'!K270/1000</f>
        <v>0</v>
      </c>
      <c r="N104" s="21">
        <f>'2-Data Input &amp; Assumptions'!L270/1000</f>
        <v>0</v>
      </c>
      <c r="O104" s="21">
        <f>'2-Data Input &amp; Assumptions'!M270/1000</f>
        <v>0</v>
      </c>
      <c r="P104" s="86">
        <f>'2-Data Input &amp; Assumptions'!N270/1000</f>
        <v>0</v>
      </c>
      <c r="Q104" s="21">
        <f>'2-Data Input &amp; Assumptions'!C339/1000</f>
        <v>0</v>
      </c>
      <c r="R104" s="21">
        <f>'2-Data Input &amp; Assumptions'!D339/1000</f>
        <v>0</v>
      </c>
      <c r="S104" s="21">
        <f>'2-Data Input &amp; Assumptions'!E339/1000</f>
        <v>0</v>
      </c>
      <c r="T104" s="21">
        <f>'2-Data Input &amp; Assumptions'!F339/1000</f>
        <v>0</v>
      </c>
      <c r="U104" s="21">
        <f>'2-Data Input &amp; Assumptions'!G339/1000</f>
        <v>0</v>
      </c>
      <c r="V104" s="21">
        <f>'2-Data Input &amp; Assumptions'!H339/1000</f>
        <v>0</v>
      </c>
      <c r="W104" s="21">
        <f>'2-Data Input &amp; Assumptions'!I339/1000</f>
        <v>0</v>
      </c>
      <c r="X104" s="21">
        <f>'2-Data Input &amp; Assumptions'!J339/1000</f>
        <v>0</v>
      </c>
      <c r="Y104" s="21">
        <f>'2-Data Input &amp; Assumptions'!K339/1000</f>
        <v>0</v>
      </c>
      <c r="Z104" s="21">
        <f>'2-Data Input &amp; Assumptions'!L339/1000</f>
        <v>0</v>
      </c>
      <c r="AA104" s="21">
        <f>'2-Data Input &amp; Assumptions'!M339/1000</f>
        <v>0</v>
      </c>
      <c r="AB104" s="86">
        <f>'2-Data Input &amp; Assumptions'!N339/1000</f>
        <v>0</v>
      </c>
      <c r="AC104" s="21">
        <f>Q104*(1+'2-Data Input &amp; Assumptions'!$G407)</f>
        <v>0</v>
      </c>
      <c r="AD104" s="21">
        <f>R104*(1+'2-Data Input &amp; Assumptions'!$G407)</f>
        <v>0</v>
      </c>
      <c r="AE104" s="21">
        <f>S104*(1+'2-Data Input &amp; Assumptions'!$G407)</f>
        <v>0</v>
      </c>
      <c r="AF104" s="21">
        <f>T104*(1+'2-Data Input &amp; Assumptions'!$G407)</f>
        <v>0</v>
      </c>
      <c r="AG104" s="21">
        <f>U104*(1+'2-Data Input &amp; Assumptions'!$G407)</f>
        <v>0</v>
      </c>
      <c r="AH104" s="21">
        <f>V104*(1+'2-Data Input &amp; Assumptions'!$G407)</f>
        <v>0</v>
      </c>
      <c r="AI104" s="21">
        <f>W104*(1+'2-Data Input &amp; Assumptions'!$G407)</f>
        <v>0</v>
      </c>
      <c r="AJ104" s="21">
        <f>X104*(1+'2-Data Input &amp; Assumptions'!$G407)</f>
        <v>0</v>
      </c>
      <c r="AK104" s="21">
        <f>Y104*(1+'2-Data Input &amp; Assumptions'!$G407)</f>
        <v>0</v>
      </c>
      <c r="AL104" s="21">
        <f>Z104*(1+'2-Data Input &amp; Assumptions'!$G407)</f>
        <v>0</v>
      </c>
      <c r="AM104" s="21">
        <f>AA104*(1+'2-Data Input &amp; Assumptions'!$G407)</f>
        <v>0</v>
      </c>
      <c r="AN104" s="21">
        <f>AB104*(1+'2-Data Input &amp; Assumptions'!$G407)</f>
        <v>0</v>
      </c>
    </row>
    <row r="105" spans="2:45" x14ac:dyDescent="0.3">
      <c r="B105" s="27"/>
      <c r="C105" s="12"/>
      <c r="D105" s="20" t="str">
        <f>'2-Data Input &amp; Assumptions'!A68</f>
        <v>OTHER EXPENSES/USES</v>
      </c>
      <c r="E105" s="21">
        <f>'2-Data Input &amp; Assumptions'!C271/1000</f>
        <v>0</v>
      </c>
      <c r="F105" s="21">
        <f>'2-Data Input &amp; Assumptions'!D271/1000</f>
        <v>0</v>
      </c>
      <c r="G105" s="21">
        <f>'2-Data Input &amp; Assumptions'!E271/1000</f>
        <v>0</v>
      </c>
      <c r="H105" s="21">
        <f>'2-Data Input &amp; Assumptions'!F271/1000</f>
        <v>0</v>
      </c>
      <c r="I105" s="21">
        <f>'2-Data Input &amp; Assumptions'!G271/1000</f>
        <v>0</v>
      </c>
      <c r="J105" s="21">
        <f>'2-Data Input &amp; Assumptions'!H271/1000</f>
        <v>0</v>
      </c>
      <c r="K105" s="21">
        <f>'2-Data Input &amp; Assumptions'!I271/1000</f>
        <v>0</v>
      </c>
      <c r="L105" s="21">
        <f>'2-Data Input &amp; Assumptions'!J271/1000</f>
        <v>0</v>
      </c>
      <c r="M105" s="21">
        <f>'2-Data Input &amp; Assumptions'!K271/1000</f>
        <v>0</v>
      </c>
      <c r="N105" s="21">
        <f>'2-Data Input &amp; Assumptions'!L271/1000</f>
        <v>0</v>
      </c>
      <c r="O105" s="21">
        <f>'2-Data Input &amp; Assumptions'!M271/1000</f>
        <v>0</v>
      </c>
      <c r="P105" s="86">
        <f>'2-Data Input &amp; Assumptions'!N271/1000</f>
        <v>0</v>
      </c>
      <c r="Q105" s="21">
        <f>'2-Data Input &amp; Assumptions'!C340/1000</f>
        <v>0</v>
      </c>
      <c r="R105" s="21">
        <f>'2-Data Input &amp; Assumptions'!D340/1000</f>
        <v>0</v>
      </c>
      <c r="S105" s="21">
        <f>'2-Data Input &amp; Assumptions'!E340/1000</f>
        <v>0</v>
      </c>
      <c r="T105" s="21">
        <f>'2-Data Input &amp; Assumptions'!F340/1000</f>
        <v>0</v>
      </c>
      <c r="U105" s="21">
        <f>'2-Data Input &amp; Assumptions'!G340/1000</f>
        <v>0</v>
      </c>
      <c r="V105" s="21">
        <f>'2-Data Input &amp; Assumptions'!H340/1000</f>
        <v>0</v>
      </c>
      <c r="W105" s="21">
        <f>'2-Data Input &amp; Assumptions'!I340/1000</f>
        <v>0</v>
      </c>
      <c r="X105" s="21">
        <f>'2-Data Input &amp; Assumptions'!J340/1000</f>
        <v>0</v>
      </c>
      <c r="Y105" s="21">
        <f>'2-Data Input &amp; Assumptions'!K340/1000</f>
        <v>0</v>
      </c>
      <c r="Z105" s="21">
        <f>'2-Data Input &amp; Assumptions'!L340/1000</f>
        <v>0</v>
      </c>
      <c r="AA105" s="21">
        <f>'2-Data Input &amp; Assumptions'!M340/1000</f>
        <v>0</v>
      </c>
      <c r="AB105" s="86">
        <f>'2-Data Input &amp; Assumptions'!N340/1000</f>
        <v>0</v>
      </c>
      <c r="AC105" s="21">
        <f>Q105*(1+'2-Data Input &amp; Assumptions'!$G408)</f>
        <v>0</v>
      </c>
      <c r="AD105" s="21">
        <f>R105*(1+'2-Data Input &amp; Assumptions'!$G408)</f>
        <v>0</v>
      </c>
      <c r="AE105" s="21">
        <f>S105*(1+'2-Data Input &amp; Assumptions'!$G408)</f>
        <v>0</v>
      </c>
      <c r="AF105" s="21">
        <f>T105*(1+'2-Data Input &amp; Assumptions'!$G408)</f>
        <v>0</v>
      </c>
      <c r="AG105" s="21">
        <f>U105*(1+'2-Data Input &amp; Assumptions'!$G408)</f>
        <v>0</v>
      </c>
      <c r="AH105" s="21">
        <f>V105*(1+'2-Data Input &amp; Assumptions'!$G408)</f>
        <v>0</v>
      </c>
      <c r="AI105" s="21">
        <f>W105*(1+'2-Data Input &amp; Assumptions'!$G408)</f>
        <v>0</v>
      </c>
      <c r="AJ105" s="21">
        <f>X105*(1+'2-Data Input &amp; Assumptions'!$G408)</f>
        <v>0</v>
      </c>
      <c r="AK105" s="21">
        <f>Y105*(1+'2-Data Input &amp; Assumptions'!$G408)</f>
        <v>0</v>
      </c>
      <c r="AL105" s="21">
        <f>Z105*(1+'2-Data Input &amp; Assumptions'!$G408)</f>
        <v>0</v>
      </c>
      <c r="AM105" s="21">
        <f>AA105*(1+'2-Data Input &amp; Assumptions'!$G408)</f>
        <v>0</v>
      </c>
      <c r="AN105" s="21">
        <f>AB105*(1+'2-Data Input &amp; Assumptions'!$G408)</f>
        <v>0</v>
      </c>
    </row>
    <row r="106" spans="2:45" x14ac:dyDescent="0.3">
      <c r="B106" s="27"/>
      <c r="C106" s="12"/>
      <c r="D106" s="20" t="str">
        <f>'2-Data Input &amp; Assumptions'!A69</f>
        <v>OTHER EXPENSES/USES</v>
      </c>
      <c r="E106" s="21">
        <f>'2-Data Input &amp; Assumptions'!C272/1000</f>
        <v>0</v>
      </c>
      <c r="F106" s="21">
        <f>'2-Data Input &amp; Assumptions'!D272/1000</f>
        <v>0</v>
      </c>
      <c r="G106" s="21">
        <f>'2-Data Input &amp; Assumptions'!E272/1000</f>
        <v>0</v>
      </c>
      <c r="H106" s="21">
        <f>'2-Data Input &amp; Assumptions'!F272/1000</f>
        <v>0</v>
      </c>
      <c r="I106" s="21">
        <f>'2-Data Input &amp; Assumptions'!G272/1000</f>
        <v>0</v>
      </c>
      <c r="J106" s="21">
        <f>'2-Data Input &amp; Assumptions'!H272/1000</f>
        <v>0</v>
      </c>
      <c r="K106" s="21">
        <f>'2-Data Input &amp; Assumptions'!I272/1000</f>
        <v>0</v>
      </c>
      <c r="L106" s="21">
        <f>'2-Data Input &amp; Assumptions'!J272/1000</f>
        <v>0</v>
      </c>
      <c r="M106" s="21">
        <f>'2-Data Input &amp; Assumptions'!K272/1000</f>
        <v>0</v>
      </c>
      <c r="N106" s="21">
        <f>'2-Data Input &amp; Assumptions'!L272/1000</f>
        <v>0</v>
      </c>
      <c r="O106" s="21">
        <f>'2-Data Input &amp; Assumptions'!M272/1000</f>
        <v>0</v>
      </c>
      <c r="P106" s="86">
        <f>'2-Data Input &amp; Assumptions'!N272/1000</f>
        <v>0</v>
      </c>
      <c r="Q106" s="21">
        <f>'2-Data Input &amp; Assumptions'!C341/1000</f>
        <v>0</v>
      </c>
      <c r="R106" s="21">
        <f>'2-Data Input &amp; Assumptions'!D341/1000</f>
        <v>0</v>
      </c>
      <c r="S106" s="21">
        <f>'2-Data Input &amp; Assumptions'!E341/1000</f>
        <v>0</v>
      </c>
      <c r="T106" s="21">
        <f>'2-Data Input &amp; Assumptions'!F341/1000</f>
        <v>0</v>
      </c>
      <c r="U106" s="21">
        <f>'2-Data Input &amp; Assumptions'!G341/1000</f>
        <v>0</v>
      </c>
      <c r="V106" s="21">
        <f>'2-Data Input &amp; Assumptions'!H341/1000</f>
        <v>0</v>
      </c>
      <c r="W106" s="21">
        <f>'2-Data Input &amp; Assumptions'!I341/1000</f>
        <v>0</v>
      </c>
      <c r="X106" s="21">
        <f>'2-Data Input &amp; Assumptions'!J341/1000</f>
        <v>0</v>
      </c>
      <c r="Y106" s="21">
        <f>'2-Data Input &amp; Assumptions'!K341/1000</f>
        <v>0</v>
      </c>
      <c r="Z106" s="21">
        <f>'2-Data Input &amp; Assumptions'!L341/1000</f>
        <v>0</v>
      </c>
      <c r="AA106" s="21">
        <f>'2-Data Input &amp; Assumptions'!M341/1000</f>
        <v>0</v>
      </c>
      <c r="AB106" s="86">
        <f>'2-Data Input &amp; Assumptions'!N341/1000</f>
        <v>0</v>
      </c>
      <c r="AC106" s="21">
        <f>Q106*(1+'2-Data Input &amp; Assumptions'!$G409)</f>
        <v>0</v>
      </c>
      <c r="AD106" s="21">
        <f>R106*(1+'2-Data Input &amp; Assumptions'!$G409)</f>
        <v>0</v>
      </c>
      <c r="AE106" s="21">
        <f>S106*(1+'2-Data Input &amp; Assumptions'!$G409)</f>
        <v>0</v>
      </c>
      <c r="AF106" s="21">
        <f>T106*(1+'2-Data Input &amp; Assumptions'!$G409)</f>
        <v>0</v>
      </c>
      <c r="AG106" s="21">
        <f>U106*(1+'2-Data Input &amp; Assumptions'!$G409)</f>
        <v>0</v>
      </c>
      <c r="AH106" s="21">
        <f>V106*(1+'2-Data Input &amp; Assumptions'!$G409)</f>
        <v>0</v>
      </c>
      <c r="AI106" s="21">
        <f>W106*(1+'2-Data Input &amp; Assumptions'!$G409)</f>
        <v>0</v>
      </c>
      <c r="AJ106" s="21">
        <f>X106*(1+'2-Data Input &amp; Assumptions'!$G409)</f>
        <v>0</v>
      </c>
      <c r="AK106" s="21">
        <f>Y106*(1+'2-Data Input &amp; Assumptions'!$G409)</f>
        <v>0</v>
      </c>
      <c r="AL106" s="21">
        <f>Z106*(1+'2-Data Input &amp; Assumptions'!$G409)</f>
        <v>0</v>
      </c>
      <c r="AM106" s="21">
        <f>AA106*(1+'2-Data Input &amp; Assumptions'!$G409)</f>
        <v>0</v>
      </c>
      <c r="AN106" s="21">
        <f>AB106*(1+'2-Data Input &amp; Assumptions'!$G409)</f>
        <v>0</v>
      </c>
    </row>
    <row r="107" spans="2:45" x14ac:dyDescent="0.3">
      <c r="B107" s="27"/>
      <c r="C107" s="12"/>
      <c r="D107" s="20" t="str">
        <f>'2-Data Input &amp; Assumptions'!A70</f>
        <v>OTHER EXPENSES/USES</v>
      </c>
      <c r="E107" s="21">
        <f>'2-Data Input &amp; Assumptions'!C273/1000</f>
        <v>0</v>
      </c>
      <c r="F107" s="21">
        <f>'2-Data Input &amp; Assumptions'!D273/1000</f>
        <v>0</v>
      </c>
      <c r="G107" s="21">
        <f>'2-Data Input &amp; Assumptions'!E273/1000</f>
        <v>0</v>
      </c>
      <c r="H107" s="21">
        <f>'2-Data Input &amp; Assumptions'!F273/1000</f>
        <v>0</v>
      </c>
      <c r="I107" s="21">
        <f>'2-Data Input &amp; Assumptions'!G273/1000</f>
        <v>0</v>
      </c>
      <c r="J107" s="21">
        <f>'2-Data Input &amp; Assumptions'!H273/1000</f>
        <v>0</v>
      </c>
      <c r="K107" s="21">
        <f>'2-Data Input &amp; Assumptions'!I273/1000</f>
        <v>0</v>
      </c>
      <c r="L107" s="21">
        <f>'2-Data Input &amp; Assumptions'!J273/1000</f>
        <v>0</v>
      </c>
      <c r="M107" s="21">
        <f>'2-Data Input &amp; Assumptions'!K273/1000</f>
        <v>0</v>
      </c>
      <c r="N107" s="21">
        <f>'2-Data Input &amp; Assumptions'!L273/1000</f>
        <v>0</v>
      </c>
      <c r="O107" s="21">
        <f>'2-Data Input &amp; Assumptions'!M273/1000</f>
        <v>0</v>
      </c>
      <c r="P107" s="86">
        <f>'2-Data Input &amp; Assumptions'!N273/1000</f>
        <v>0</v>
      </c>
      <c r="Q107" s="21">
        <f>'2-Data Input &amp; Assumptions'!C342/1000</f>
        <v>0</v>
      </c>
      <c r="R107" s="21">
        <f>'2-Data Input &amp; Assumptions'!D342/1000</f>
        <v>0</v>
      </c>
      <c r="S107" s="21">
        <f>'2-Data Input &amp; Assumptions'!E342/1000</f>
        <v>0</v>
      </c>
      <c r="T107" s="21">
        <f>'2-Data Input &amp; Assumptions'!F342/1000</f>
        <v>0</v>
      </c>
      <c r="U107" s="21">
        <f>'2-Data Input &amp; Assumptions'!G342/1000</f>
        <v>0</v>
      </c>
      <c r="V107" s="21">
        <f>'2-Data Input &amp; Assumptions'!H342/1000</f>
        <v>0</v>
      </c>
      <c r="W107" s="21">
        <f>'2-Data Input &amp; Assumptions'!I342/1000</f>
        <v>0</v>
      </c>
      <c r="X107" s="21">
        <f>'2-Data Input &amp; Assumptions'!J342/1000</f>
        <v>0</v>
      </c>
      <c r="Y107" s="21">
        <f>'2-Data Input &amp; Assumptions'!K342/1000</f>
        <v>0</v>
      </c>
      <c r="Z107" s="21">
        <f>'2-Data Input &amp; Assumptions'!L342/1000</f>
        <v>0</v>
      </c>
      <c r="AA107" s="21">
        <f>'2-Data Input &amp; Assumptions'!M342/1000</f>
        <v>0</v>
      </c>
      <c r="AB107" s="86">
        <f>'2-Data Input &amp; Assumptions'!N342/1000</f>
        <v>0</v>
      </c>
      <c r="AC107" s="21">
        <f>Q107*(1+'2-Data Input &amp; Assumptions'!$G410)</f>
        <v>0</v>
      </c>
      <c r="AD107" s="21">
        <f>R107*(1+'2-Data Input &amp; Assumptions'!$G410)</f>
        <v>0</v>
      </c>
      <c r="AE107" s="21">
        <f>S107*(1+'2-Data Input &amp; Assumptions'!$G410)</f>
        <v>0</v>
      </c>
      <c r="AF107" s="21">
        <f>T107*(1+'2-Data Input &amp; Assumptions'!$G410)</f>
        <v>0</v>
      </c>
      <c r="AG107" s="21">
        <f>U107*(1+'2-Data Input &amp; Assumptions'!$G410)</f>
        <v>0</v>
      </c>
      <c r="AH107" s="21">
        <f>V107*(1+'2-Data Input &amp; Assumptions'!$G410)</f>
        <v>0</v>
      </c>
      <c r="AI107" s="21">
        <f>W107*(1+'2-Data Input &amp; Assumptions'!$G410)</f>
        <v>0</v>
      </c>
      <c r="AJ107" s="21">
        <f>X107*(1+'2-Data Input &amp; Assumptions'!$G410)</f>
        <v>0</v>
      </c>
      <c r="AK107" s="21">
        <f>Y107*(1+'2-Data Input &amp; Assumptions'!$G410)</f>
        <v>0</v>
      </c>
      <c r="AL107" s="21">
        <f>Z107*(1+'2-Data Input &amp; Assumptions'!$G410)</f>
        <v>0</v>
      </c>
      <c r="AM107" s="21">
        <f>AA107*(1+'2-Data Input &amp; Assumptions'!$G410)</f>
        <v>0</v>
      </c>
      <c r="AN107" s="21">
        <f>AB107*(1+'2-Data Input &amp; Assumptions'!$G410)</f>
        <v>0</v>
      </c>
    </row>
    <row r="108" spans="2:45" ht="15" thickBot="1" x14ac:dyDescent="0.35">
      <c r="B108" s="22"/>
      <c r="C108" s="23"/>
      <c r="D108" s="24" t="s">
        <v>3</v>
      </c>
      <c r="E108" s="25">
        <f>SUM(E78:E107)</f>
        <v>37230.442999999999</v>
      </c>
      <c r="F108" s="25">
        <f t="shared" ref="F108:Q108" si="21">SUM(F78:F107)</f>
        <v>68982.453999999998</v>
      </c>
      <c r="G108" s="25">
        <f t="shared" si="21"/>
        <v>49468.387999999999</v>
      </c>
      <c r="H108" s="25">
        <f t="shared" si="21"/>
        <v>32020.799999999999</v>
      </c>
      <c r="I108" s="25">
        <f t="shared" si="21"/>
        <v>83970.700000000012</v>
      </c>
      <c r="J108" s="25">
        <f t="shared" si="21"/>
        <v>135918.40000000002</v>
      </c>
      <c r="K108" s="25">
        <f t="shared" si="21"/>
        <v>144180</v>
      </c>
      <c r="L108" s="25">
        <f t="shared" si="21"/>
        <v>39553.199999999997</v>
      </c>
      <c r="M108" s="25">
        <f t="shared" si="21"/>
        <v>38701.799999999996</v>
      </c>
      <c r="N108" s="25">
        <f t="shared" si="21"/>
        <v>84867.700000000012</v>
      </c>
      <c r="O108" s="25">
        <f t="shared" si="21"/>
        <v>110566.3</v>
      </c>
      <c r="P108" s="87">
        <f t="shared" si="21"/>
        <v>130970.70000000001</v>
      </c>
      <c r="Q108" s="25">
        <f t="shared" si="21"/>
        <v>39024.236130544741</v>
      </c>
      <c r="R108" s="25">
        <f t="shared" ref="R108:AA108" si="22">SUM(R78:R107)</f>
        <v>42573.219370467777</v>
      </c>
      <c r="S108" s="25">
        <f t="shared" si="22"/>
        <v>30904.156770250549</v>
      </c>
      <c r="T108" s="25">
        <f t="shared" si="22"/>
        <v>34614.452159123888</v>
      </c>
      <c r="U108" s="25">
        <f t="shared" si="22"/>
        <v>87832.714622932283</v>
      </c>
      <c r="V108" s="25">
        <f t="shared" si="22"/>
        <v>145340.64884836352</v>
      </c>
      <c r="W108" s="25">
        <f t="shared" si="22"/>
        <v>142290.13505152156</v>
      </c>
      <c r="X108" s="25">
        <f t="shared" si="22"/>
        <v>41007.736868756321</v>
      </c>
      <c r="Y108" s="25">
        <f t="shared" si="22"/>
        <v>37649.426003633467</v>
      </c>
      <c r="Z108" s="25">
        <f t="shared" si="22"/>
        <v>87387.655712448206</v>
      </c>
      <c r="AA108" s="25">
        <f t="shared" si="22"/>
        <v>164255.82540974952</v>
      </c>
      <c r="AB108" s="87">
        <f t="shared" ref="AB108:AN108" si="23">SUM(AB78:AB107)</f>
        <v>84003.286716319097</v>
      </c>
      <c r="AC108" s="25">
        <f t="shared" si="23"/>
        <v>40380.901833403681</v>
      </c>
      <c r="AD108" s="25">
        <f t="shared" si="23"/>
        <v>43631.216449469961</v>
      </c>
      <c r="AE108" s="25">
        <f t="shared" si="23"/>
        <v>32028.126605196692</v>
      </c>
      <c r="AF108" s="25">
        <f t="shared" si="23"/>
        <v>35783.833745770142</v>
      </c>
      <c r="AG108" s="25">
        <f t="shared" si="23"/>
        <v>90672.928386277214</v>
      </c>
      <c r="AH108" s="25">
        <f t="shared" si="23"/>
        <v>148709.33542636581</v>
      </c>
      <c r="AI108" s="25">
        <f t="shared" si="23"/>
        <v>146677.09859150191</v>
      </c>
      <c r="AJ108" s="25">
        <f t="shared" si="23"/>
        <v>42330.158946112293</v>
      </c>
      <c r="AK108" s="25">
        <f t="shared" si="23"/>
        <v>38899.227060561105</v>
      </c>
      <c r="AL108" s="25">
        <f t="shared" si="23"/>
        <v>90176.718537761597</v>
      </c>
      <c r="AM108" s="25">
        <f t="shared" si="23"/>
        <v>168269.77344430686</v>
      </c>
      <c r="AN108" s="25">
        <f t="shared" si="23"/>
        <v>86628.519636383673</v>
      </c>
      <c r="AP108" s="8"/>
    </row>
    <row r="109" spans="2:45" s="31" customFormat="1" x14ac:dyDescent="0.3">
      <c r="B109" s="69"/>
      <c r="C109" s="70"/>
      <c r="D109" s="71" t="s">
        <v>2</v>
      </c>
      <c r="E109" s="70">
        <f t="shared" ref="E109:AA109" si="24">IF(E111&gt;0.1,E111,0)</f>
        <v>69253.859999999986</v>
      </c>
      <c r="F109" s="70">
        <f t="shared" si="24"/>
        <v>44229.493999999977</v>
      </c>
      <c r="G109" s="70">
        <f t="shared" si="24"/>
        <v>22912.352999999981</v>
      </c>
      <c r="H109" s="70">
        <f t="shared" si="24"/>
        <v>127885.17</v>
      </c>
      <c r="I109" s="70">
        <f t="shared" si="24"/>
        <v>227090.68800000002</v>
      </c>
      <c r="J109" s="70">
        <f t="shared" si="24"/>
        <v>179871.87600000005</v>
      </c>
      <c r="K109" s="70">
        <f t="shared" si="24"/>
        <v>70732.965000000055</v>
      </c>
      <c r="L109" s="70">
        <f t="shared" si="24"/>
        <v>64694.220000000059</v>
      </c>
      <c r="M109" s="70">
        <f t="shared" si="24"/>
        <v>97239.478000000061</v>
      </c>
      <c r="N109" s="70">
        <f t="shared" si="24"/>
        <v>230677.14000000007</v>
      </c>
      <c r="O109" s="70">
        <f t="shared" si="24"/>
        <v>196369.59300000011</v>
      </c>
      <c r="P109" s="88">
        <f t="shared" si="24"/>
        <v>95346.972000000096</v>
      </c>
      <c r="Q109" s="70">
        <f t="shared" si="24"/>
        <v>86308.095267721073</v>
      </c>
      <c r="R109" s="70">
        <f t="shared" si="24"/>
        <v>86680.258173176597</v>
      </c>
      <c r="S109" s="70">
        <f t="shared" si="24"/>
        <v>95959.622343127645</v>
      </c>
      <c r="T109" s="70">
        <f t="shared" si="24"/>
        <v>198622.9297566411</v>
      </c>
      <c r="U109" s="70">
        <f t="shared" si="24"/>
        <v>288385.82523348869</v>
      </c>
      <c r="V109" s="70">
        <f t="shared" si="24"/>
        <v>223734.72143425388</v>
      </c>
      <c r="W109" s="70">
        <f t="shared" si="24"/>
        <v>122889.75114955791</v>
      </c>
      <c r="X109" s="70">
        <f t="shared" si="24"/>
        <v>114225.85640978388</v>
      </c>
      <c r="Y109" s="70">
        <f t="shared" si="24"/>
        <v>139783.69638784049</v>
      </c>
      <c r="Z109" s="70">
        <f t="shared" si="24"/>
        <v>263182.66063281684</v>
      </c>
      <c r="AA109" s="70">
        <f t="shared" si="24"/>
        <v>185042.6149462749</v>
      </c>
      <c r="AB109" s="88">
        <f t="shared" ref="AB109:AN109" si="25">IF(AB111&gt;0.1,AB111,0)</f>
        <v>141127.54747588915</v>
      </c>
      <c r="AC109" s="70">
        <f t="shared" si="25"/>
        <v>130968.00860875228</v>
      </c>
      <c r="AD109" s="70">
        <f t="shared" si="25"/>
        <v>130474.93552466857</v>
      </c>
      <c r="AE109" s="70">
        <f t="shared" si="25"/>
        <v>139040.1407020617</v>
      </c>
      <c r="AF109" s="70">
        <f t="shared" si="25"/>
        <v>244286.1678013003</v>
      </c>
      <c r="AG109" s="70">
        <f t="shared" si="25"/>
        <v>335985.97188290843</v>
      </c>
      <c r="AH109" s="70">
        <f t="shared" si="25"/>
        <v>268323.93085608375</v>
      </c>
      <c r="AI109" s="70">
        <f t="shared" si="25"/>
        <v>163537.05363797318</v>
      </c>
      <c r="AJ109" s="70">
        <f t="shared" si="25"/>
        <v>153870.57604306555</v>
      </c>
      <c r="AK109" s="70">
        <f t="shared" si="25"/>
        <v>179695.19162346495</v>
      </c>
      <c r="AL109" s="70">
        <f t="shared" si="25"/>
        <v>306239.93827802222</v>
      </c>
      <c r="AM109" s="70">
        <f t="shared" si="25"/>
        <v>224443.00477459619</v>
      </c>
      <c r="AN109" s="70">
        <f t="shared" si="25"/>
        <v>178220.76047097804</v>
      </c>
    </row>
    <row r="110" spans="2:45" s="31" customFormat="1" x14ac:dyDescent="0.3">
      <c r="B110" s="28"/>
      <c r="C110" s="29"/>
      <c r="D110" s="30" t="s">
        <v>1</v>
      </c>
      <c r="E110" s="29">
        <f t="shared" ref="E110:AN110" si="26">IF(E111&lt;0.001,E111,0)</f>
        <v>0</v>
      </c>
      <c r="F110" s="29">
        <f t="shared" si="26"/>
        <v>0</v>
      </c>
      <c r="G110" s="29">
        <f t="shared" si="26"/>
        <v>0</v>
      </c>
      <c r="H110" s="29">
        <f t="shared" si="26"/>
        <v>0</v>
      </c>
      <c r="I110" s="29">
        <f t="shared" si="26"/>
        <v>0</v>
      </c>
      <c r="J110" s="29">
        <f t="shared" si="26"/>
        <v>0</v>
      </c>
      <c r="K110" s="29">
        <f t="shared" si="26"/>
        <v>0</v>
      </c>
      <c r="L110" s="29">
        <f t="shared" si="26"/>
        <v>0</v>
      </c>
      <c r="M110" s="29">
        <f t="shared" si="26"/>
        <v>0</v>
      </c>
      <c r="N110" s="29">
        <f t="shared" si="26"/>
        <v>0</v>
      </c>
      <c r="O110" s="29">
        <f t="shared" si="26"/>
        <v>0</v>
      </c>
      <c r="P110" s="89">
        <f t="shared" si="26"/>
        <v>0</v>
      </c>
      <c r="Q110" s="29">
        <f t="shared" si="26"/>
        <v>0</v>
      </c>
      <c r="R110" s="29">
        <f t="shared" si="26"/>
        <v>0</v>
      </c>
      <c r="S110" s="29">
        <f t="shared" si="26"/>
        <v>0</v>
      </c>
      <c r="T110" s="29">
        <f t="shared" si="26"/>
        <v>0</v>
      </c>
      <c r="U110" s="29">
        <f t="shared" si="26"/>
        <v>0</v>
      </c>
      <c r="V110" s="29">
        <f t="shared" si="26"/>
        <v>0</v>
      </c>
      <c r="W110" s="29">
        <f t="shared" si="26"/>
        <v>0</v>
      </c>
      <c r="X110" s="29">
        <f t="shared" si="26"/>
        <v>0</v>
      </c>
      <c r="Y110" s="29">
        <f t="shared" si="26"/>
        <v>0</v>
      </c>
      <c r="Z110" s="29">
        <f t="shared" si="26"/>
        <v>0</v>
      </c>
      <c r="AA110" s="29">
        <f t="shared" si="26"/>
        <v>0</v>
      </c>
      <c r="AB110" s="89">
        <f t="shared" si="26"/>
        <v>0</v>
      </c>
      <c r="AC110" s="29">
        <f t="shared" si="26"/>
        <v>0</v>
      </c>
      <c r="AD110" s="29">
        <f t="shared" si="26"/>
        <v>0</v>
      </c>
      <c r="AE110" s="29">
        <f t="shared" si="26"/>
        <v>0</v>
      </c>
      <c r="AF110" s="29">
        <f t="shared" si="26"/>
        <v>0</v>
      </c>
      <c r="AG110" s="29">
        <f t="shared" si="26"/>
        <v>0</v>
      </c>
      <c r="AH110" s="29">
        <f t="shared" si="26"/>
        <v>0</v>
      </c>
      <c r="AI110" s="29">
        <f t="shared" si="26"/>
        <v>0</v>
      </c>
      <c r="AJ110" s="29">
        <f t="shared" si="26"/>
        <v>0</v>
      </c>
      <c r="AK110" s="29">
        <f t="shared" si="26"/>
        <v>0</v>
      </c>
      <c r="AL110" s="29">
        <f t="shared" si="26"/>
        <v>0</v>
      </c>
      <c r="AM110" s="29">
        <f t="shared" si="26"/>
        <v>0</v>
      </c>
      <c r="AN110" s="29">
        <f t="shared" si="26"/>
        <v>0</v>
      </c>
      <c r="AP110" s="4"/>
      <c r="AQ110" s="8"/>
      <c r="AR110" s="8"/>
      <c r="AS110" s="8"/>
    </row>
    <row r="111" spans="2:45" s="29" customFormat="1" ht="15" thickBot="1" x14ac:dyDescent="0.35">
      <c r="B111" s="32"/>
      <c r="C111" s="33"/>
      <c r="D111" s="72" t="s">
        <v>0</v>
      </c>
      <c r="E111" s="33">
        <f>C46+E77-E108</f>
        <v>69253.859999999986</v>
      </c>
      <c r="F111" s="33">
        <f t="shared" ref="F111:AN111" si="27">E111+F77-F108</f>
        <v>44229.493999999977</v>
      </c>
      <c r="G111" s="33">
        <f t="shared" si="27"/>
        <v>22912.352999999981</v>
      </c>
      <c r="H111" s="33">
        <f t="shared" si="27"/>
        <v>127885.17</v>
      </c>
      <c r="I111" s="33">
        <f t="shared" si="27"/>
        <v>227090.68800000002</v>
      </c>
      <c r="J111" s="33">
        <f t="shared" si="27"/>
        <v>179871.87600000005</v>
      </c>
      <c r="K111" s="33">
        <f t="shared" si="27"/>
        <v>70732.965000000055</v>
      </c>
      <c r="L111" s="33">
        <f t="shared" si="27"/>
        <v>64694.220000000059</v>
      </c>
      <c r="M111" s="33">
        <f t="shared" si="27"/>
        <v>97239.478000000061</v>
      </c>
      <c r="N111" s="33">
        <f t="shared" si="27"/>
        <v>230677.14000000007</v>
      </c>
      <c r="O111" s="33">
        <f t="shared" si="27"/>
        <v>196369.59300000011</v>
      </c>
      <c r="P111" s="90">
        <f t="shared" si="27"/>
        <v>95346.972000000096</v>
      </c>
      <c r="Q111" s="33">
        <f t="shared" si="27"/>
        <v>86308.095267721073</v>
      </c>
      <c r="R111" s="33">
        <f t="shared" si="27"/>
        <v>86680.258173176597</v>
      </c>
      <c r="S111" s="33">
        <f t="shared" si="27"/>
        <v>95959.622343127645</v>
      </c>
      <c r="T111" s="33">
        <f t="shared" si="27"/>
        <v>198622.9297566411</v>
      </c>
      <c r="U111" s="33">
        <f t="shared" si="27"/>
        <v>288385.82523348869</v>
      </c>
      <c r="V111" s="33">
        <f t="shared" si="27"/>
        <v>223734.72143425388</v>
      </c>
      <c r="W111" s="33">
        <f t="shared" si="27"/>
        <v>122889.75114955791</v>
      </c>
      <c r="X111" s="33">
        <f t="shared" si="27"/>
        <v>114225.85640978388</v>
      </c>
      <c r="Y111" s="33">
        <f t="shared" si="27"/>
        <v>139783.69638784049</v>
      </c>
      <c r="Z111" s="33">
        <f t="shared" si="27"/>
        <v>263182.66063281684</v>
      </c>
      <c r="AA111" s="33">
        <f t="shared" si="27"/>
        <v>185042.6149462749</v>
      </c>
      <c r="AB111" s="90">
        <f t="shared" si="27"/>
        <v>141127.54747588915</v>
      </c>
      <c r="AC111" s="33">
        <f t="shared" si="27"/>
        <v>130968.00860875228</v>
      </c>
      <c r="AD111" s="33">
        <f t="shared" si="27"/>
        <v>130474.93552466857</v>
      </c>
      <c r="AE111" s="33">
        <f t="shared" si="27"/>
        <v>139040.1407020617</v>
      </c>
      <c r="AF111" s="33">
        <f t="shared" si="27"/>
        <v>244286.1678013003</v>
      </c>
      <c r="AG111" s="33">
        <f t="shared" si="27"/>
        <v>335985.97188290843</v>
      </c>
      <c r="AH111" s="33">
        <f t="shared" si="27"/>
        <v>268323.93085608375</v>
      </c>
      <c r="AI111" s="33">
        <f t="shared" si="27"/>
        <v>163537.05363797318</v>
      </c>
      <c r="AJ111" s="33">
        <f t="shared" si="27"/>
        <v>153870.57604306555</v>
      </c>
      <c r="AK111" s="33">
        <f t="shared" si="27"/>
        <v>179695.19162346495</v>
      </c>
      <c r="AL111" s="33">
        <f t="shared" si="27"/>
        <v>306239.93827802222</v>
      </c>
      <c r="AM111" s="33">
        <f t="shared" si="27"/>
        <v>224443.00477459619</v>
      </c>
      <c r="AN111" s="33">
        <f t="shared" si="27"/>
        <v>178220.76047097804</v>
      </c>
      <c r="AP111" s="4"/>
      <c r="AQ111" s="8"/>
      <c r="AR111" s="8"/>
      <c r="AS111" s="8"/>
    </row>
    <row r="112" spans="2:45" x14ac:dyDescent="0.3">
      <c r="B112" s="9"/>
      <c r="AQ112" s="8"/>
      <c r="AR112" s="8"/>
      <c r="AS112" s="8"/>
    </row>
    <row r="113" spans="2:40" x14ac:dyDescent="0.3">
      <c r="B113" s="34" t="str">
        <f>CONCATENATE(A1," ",A2)</f>
        <v>MONTHLY CASH FLOW ESTIMATE - GENERAL FUND FOR FISCAL YEAR ENDING-JUN-2021</v>
      </c>
    </row>
    <row r="114" spans="2:40" x14ac:dyDescent="0.3">
      <c r="B114" s="10"/>
    </row>
    <row r="116" spans="2:40" x14ac:dyDescent="0.3">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row>
    <row r="117" spans="2:40" x14ac:dyDescent="0.3">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row>
    <row r="118" spans="2:40" x14ac:dyDescent="0.3">
      <c r="E118" s="80"/>
      <c r="F118" s="80"/>
      <c r="G118" s="80"/>
      <c r="H118" s="80"/>
      <c r="I118" s="80"/>
    </row>
  </sheetData>
  <sheetProtection algorithmName="SHA-512" hashValue="fOMx324PMWdSYe9j4uLRmpCmULCAIK803MF/AbjdIjCebB43OGAHyGfQ1al7EhjqSypts7OtRkDhZOnaH1n76w==" saltValue="7S8+qt82uw0l7F92r9Qu8Q==" spinCount="100000" sheet="1" objects="1" scenarios="1"/>
  <phoneticPr fontId="23" type="noConversion"/>
  <pageMargins left="0.7" right="0.7" top="0.75" bottom="0.75" header="0.3" footer="0.3"/>
  <pageSetup scale="48" orientation="landscape" horizontalDpi="4294967295" verticalDpi="4294967295" r:id="rId1"/>
  <headerFooter>
    <oddHeader>&amp;F</oddHeader>
    <oddFooter>&amp;C&amp;A&amp;R&amp;P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6"/>
  <sheetViews>
    <sheetView zoomScale="90" zoomScaleNormal="90" workbookViewId="0">
      <pane ySplit="1" topLeftCell="A2" activePane="bottomLeft" state="frozen"/>
      <selection pane="bottomLeft"/>
    </sheetView>
  </sheetViews>
  <sheetFormatPr defaultColWidth="8.6640625" defaultRowHeight="14.4" x14ac:dyDescent="0.3"/>
  <cols>
    <col min="1" max="1" width="40" customWidth="1"/>
    <col min="2" max="5" width="50.6640625" customWidth="1"/>
  </cols>
  <sheetData>
    <row r="1" spans="1:7" ht="18.600000000000001" thickBot="1" x14ac:dyDescent="0.4">
      <c r="A1" s="53" t="s">
        <v>14</v>
      </c>
      <c r="B1" s="54" t="s">
        <v>15</v>
      </c>
      <c r="C1" s="54" t="s">
        <v>16</v>
      </c>
      <c r="D1" s="54" t="s">
        <v>17</v>
      </c>
      <c r="E1" s="55" t="s">
        <v>18</v>
      </c>
    </row>
    <row r="2" spans="1:7" s="46" customFormat="1" ht="28.8" x14ac:dyDescent="0.3">
      <c r="A2" s="43" t="s">
        <v>19</v>
      </c>
      <c r="B2" s="44" t="s">
        <v>20</v>
      </c>
      <c r="C2" s="44" t="s">
        <v>21</v>
      </c>
      <c r="D2" s="44" t="s">
        <v>22</v>
      </c>
      <c r="E2" s="45" t="s">
        <v>23</v>
      </c>
    </row>
    <row r="3" spans="1:7" s="46" customFormat="1" ht="15.6" x14ac:dyDescent="0.3">
      <c r="A3" s="47"/>
      <c r="B3" s="48"/>
      <c r="C3" s="48"/>
      <c r="D3" s="48"/>
      <c r="E3" s="49"/>
    </row>
    <row r="4" spans="1:7" s="46" customFormat="1" ht="43.2" x14ac:dyDescent="0.3">
      <c r="A4" s="43" t="s">
        <v>24</v>
      </c>
      <c r="B4" s="44" t="s">
        <v>25</v>
      </c>
      <c r="C4" s="44" t="s">
        <v>26</v>
      </c>
      <c r="D4" s="44" t="s">
        <v>27</v>
      </c>
      <c r="E4" s="45" t="s">
        <v>28</v>
      </c>
      <c r="G4" s="50"/>
    </row>
    <row r="5" spans="1:7" s="46" customFormat="1" ht="15.6" x14ac:dyDescent="0.3">
      <c r="A5" s="47"/>
      <c r="B5" s="48"/>
      <c r="C5" s="48"/>
      <c r="D5" s="48"/>
      <c r="E5" s="49"/>
    </row>
    <row r="6" spans="1:7" s="46" customFormat="1" ht="43.2" x14ac:dyDescent="0.3">
      <c r="A6" s="43" t="s">
        <v>29</v>
      </c>
      <c r="B6" s="44" t="s">
        <v>30</v>
      </c>
      <c r="C6" s="44" t="s">
        <v>31</v>
      </c>
      <c r="D6" s="44" t="s">
        <v>32</v>
      </c>
      <c r="E6" s="45" t="s">
        <v>23</v>
      </c>
    </row>
    <row r="7" spans="1:7" s="46" customFormat="1" ht="15.6" x14ac:dyDescent="0.3">
      <c r="A7" s="47"/>
      <c r="B7" s="48"/>
      <c r="C7" s="48"/>
      <c r="D7" s="48"/>
      <c r="E7" s="49"/>
    </row>
    <row r="8" spans="1:7" s="46" customFormat="1" ht="43.2" x14ac:dyDescent="0.3">
      <c r="A8" s="43" t="s">
        <v>33</v>
      </c>
      <c r="B8" s="44" t="s">
        <v>34</v>
      </c>
      <c r="C8" s="44" t="s">
        <v>35</v>
      </c>
      <c r="D8" s="44" t="s">
        <v>27</v>
      </c>
      <c r="E8" s="45" t="s">
        <v>28</v>
      </c>
    </row>
    <row r="9" spans="1:7" s="46" customFormat="1" ht="15.6" x14ac:dyDescent="0.3">
      <c r="A9" s="47"/>
      <c r="B9" s="48"/>
      <c r="C9" s="48"/>
      <c r="D9" s="48"/>
      <c r="E9" s="49"/>
    </row>
    <row r="10" spans="1:7" s="46" customFormat="1" ht="28.8" x14ac:dyDescent="0.3">
      <c r="A10" s="43" t="s">
        <v>36</v>
      </c>
      <c r="B10" s="44" t="s">
        <v>37</v>
      </c>
      <c r="C10" s="44" t="s">
        <v>38</v>
      </c>
      <c r="D10" s="44" t="s">
        <v>39</v>
      </c>
      <c r="E10" s="45" t="s">
        <v>23</v>
      </c>
    </row>
    <row r="11" spans="1:7" s="46" customFormat="1" ht="15.6" x14ac:dyDescent="0.3">
      <c r="A11" s="47"/>
      <c r="B11" s="48"/>
      <c r="C11" s="48"/>
      <c r="D11" s="48"/>
      <c r="E11" s="49"/>
    </row>
    <row r="12" spans="1:7" s="46" customFormat="1" ht="43.2" x14ac:dyDescent="0.3">
      <c r="A12" s="43" t="s">
        <v>40</v>
      </c>
      <c r="B12" s="44" t="s">
        <v>41</v>
      </c>
      <c r="C12" s="44" t="s">
        <v>42</v>
      </c>
      <c r="D12" s="44" t="s">
        <v>39</v>
      </c>
      <c r="E12" s="45" t="s">
        <v>27</v>
      </c>
    </row>
    <row r="13" spans="1:7" s="46" customFormat="1" ht="15.6" x14ac:dyDescent="0.3">
      <c r="A13" s="47"/>
      <c r="B13" s="48"/>
      <c r="C13" s="48"/>
      <c r="D13" s="48"/>
      <c r="E13" s="49"/>
    </row>
    <row r="14" spans="1:7" s="46" customFormat="1" ht="43.2" x14ac:dyDescent="0.3">
      <c r="A14" s="43" t="s">
        <v>43</v>
      </c>
      <c r="B14" s="44" t="s">
        <v>44</v>
      </c>
      <c r="C14" s="44" t="s">
        <v>45</v>
      </c>
      <c r="D14" s="44" t="s">
        <v>46</v>
      </c>
      <c r="E14" s="45" t="s">
        <v>27</v>
      </c>
    </row>
    <row r="15" spans="1:7" s="46" customFormat="1" ht="15.6" x14ac:dyDescent="0.3">
      <c r="A15" s="47"/>
      <c r="B15" s="48"/>
      <c r="C15" s="48"/>
      <c r="D15" s="48"/>
      <c r="E15" s="49"/>
    </row>
    <row r="16" spans="1:7" s="46" customFormat="1" ht="28.8" x14ac:dyDescent="0.3">
      <c r="A16" s="43" t="s">
        <v>47</v>
      </c>
      <c r="B16" s="44" t="s">
        <v>48</v>
      </c>
      <c r="C16" s="44" t="s">
        <v>49</v>
      </c>
      <c r="D16" s="44" t="s">
        <v>50</v>
      </c>
      <c r="E16" s="45" t="s">
        <v>51</v>
      </c>
    </row>
    <row r="17" spans="1:5" s="46" customFormat="1" ht="15.6" x14ac:dyDescent="0.3">
      <c r="A17" s="47"/>
      <c r="B17" s="48"/>
      <c r="C17" s="48"/>
      <c r="D17" s="48"/>
      <c r="E17" s="49"/>
    </row>
    <row r="18" spans="1:5" s="46" customFormat="1" ht="28.8" x14ac:dyDescent="0.3">
      <c r="A18" s="43" t="s">
        <v>52</v>
      </c>
      <c r="B18" s="44" t="s">
        <v>53</v>
      </c>
      <c r="C18" s="44" t="s">
        <v>54</v>
      </c>
      <c r="D18" s="44" t="s">
        <v>55</v>
      </c>
      <c r="E18" s="45" t="s">
        <v>56</v>
      </c>
    </row>
    <row r="19" spans="1:5" s="46" customFormat="1" ht="15.6" x14ac:dyDescent="0.3">
      <c r="A19" s="47"/>
      <c r="B19" s="48"/>
      <c r="C19" s="48"/>
      <c r="D19" s="48"/>
      <c r="E19" s="49"/>
    </row>
    <row r="20" spans="1:5" s="46" customFormat="1" ht="28.8" x14ac:dyDescent="0.3">
      <c r="A20" s="43" t="s">
        <v>57</v>
      </c>
      <c r="B20" s="44" t="s">
        <v>58</v>
      </c>
      <c r="C20" s="44" t="s">
        <v>59</v>
      </c>
      <c r="D20" s="44" t="s">
        <v>60</v>
      </c>
      <c r="E20" s="45" t="s">
        <v>61</v>
      </c>
    </row>
    <row r="21" spans="1:5" s="46" customFormat="1" ht="15.6" x14ac:dyDescent="0.3">
      <c r="A21" s="47"/>
      <c r="B21" s="48"/>
      <c r="C21" s="48"/>
      <c r="D21" s="48"/>
      <c r="E21" s="49"/>
    </row>
    <row r="22" spans="1:5" s="46" customFormat="1" ht="28.8" x14ac:dyDescent="0.3">
      <c r="A22" s="43" t="s">
        <v>62</v>
      </c>
      <c r="B22" s="44" t="s">
        <v>63</v>
      </c>
      <c r="C22" s="44" t="s">
        <v>64</v>
      </c>
      <c r="D22" s="44" t="s">
        <v>60</v>
      </c>
      <c r="E22" s="45" t="s">
        <v>65</v>
      </c>
    </row>
    <row r="23" spans="1:5" s="46" customFormat="1" ht="15.6" x14ac:dyDescent="0.3">
      <c r="A23" s="47"/>
      <c r="B23" s="48"/>
      <c r="C23" s="48"/>
      <c r="D23" s="48"/>
      <c r="E23" s="49"/>
    </row>
    <row r="24" spans="1:5" s="46" customFormat="1" ht="57.6" x14ac:dyDescent="0.3">
      <c r="A24" s="43" t="s">
        <v>66</v>
      </c>
      <c r="B24" s="44" t="s">
        <v>67</v>
      </c>
      <c r="C24" s="44" t="s">
        <v>68</v>
      </c>
      <c r="D24" s="44" t="s">
        <v>60</v>
      </c>
      <c r="E24" s="45" t="s">
        <v>69</v>
      </c>
    </row>
    <row r="25" spans="1:5" s="46" customFormat="1" ht="15.6" x14ac:dyDescent="0.3">
      <c r="A25" s="47"/>
      <c r="B25" s="48"/>
      <c r="C25" s="48"/>
      <c r="D25" s="48"/>
      <c r="E25" s="49"/>
    </row>
    <row r="26" spans="1:5" s="46" customFormat="1" ht="31.2" x14ac:dyDescent="0.3">
      <c r="A26" s="43" t="s">
        <v>70</v>
      </c>
      <c r="B26" s="44" t="s">
        <v>71</v>
      </c>
      <c r="C26" s="44" t="s">
        <v>72</v>
      </c>
      <c r="D26" s="44" t="s">
        <v>73</v>
      </c>
      <c r="E26" s="45" t="s">
        <v>51</v>
      </c>
    </row>
    <row r="27" spans="1:5" s="46" customFormat="1" ht="15.6" x14ac:dyDescent="0.3">
      <c r="A27" s="47"/>
      <c r="B27" s="48"/>
      <c r="C27" s="48"/>
      <c r="D27" s="48"/>
      <c r="E27" s="49"/>
    </row>
    <row r="28" spans="1:5" s="46" customFormat="1" ht="28.8" x14ac:dyDescent="0.3">
      <c r="A28" s="43" t="s">
        <v>74</v>
      </c>
      <c r="B28" s="44" t="s">
        <v>75</v>
      </c>
      <c r="C28" s="44" t="s">
        <v>72</v>
      </c>
      <c r="D28" s="44" t="s">
        <v>73</v>
      </c>
      <c r="E28" s="45" t="s">
        <v>51</v>
      </c>
    </row>
    <row r="29" spans="1:5" s="46" customFormat="1" ht="15.6" x14ac:dyDescent="0.3">
      <c r="A29" s="47"/>
      <c r="B29" s="48"/>
      <c r="C29" s="48"/>
      <c r="D29" s="48"/>
      <c r="E29" s="49"/>
    </row>
    <row r="30" spans="1:5" s="46" customFormat="1" ht="28.8" x14ac:dyDescent="0.3">
      <c r="A30" s="43" t="s">
        <v>76</v>
      </c>
      <c r="B30" s="44" t="s">
        <v>77</v>
      </c>
      <c r="C30" s="44" t="s">
        <v>72</v>
      </c>
      <c r="D30" s="44" t="s">
        <v>73</v>
      </c>
      <c r="E30" s="45" t="s">
        <v>51</v>
      </c>
    </row>
    <row r="31" spans="1:5" s="46" customFormat="1" ht="15.6" x14ac:dyDescent="0.3">
      <c r="A31" s="47"/>
      <c r="B31" s="48"/>
      <c r="C31" s="48"/>
      <c r="D31" s="48"/>
      <c r="E31" s="49"/>
    </row>
    <row r="32" spans="1:5" s="46" customFormat="1" ht="28.8" x14ac:dyDescent="0.3">
      <c r="A32" s="43" t="s">
        <v>78</v>
      </c>
      <c r="B32" s="44" t="s">
        <v>79</v>
      </c>
      <c r="C32" s="44" t="s">
        <v>80</v>
      </c>
      <c r="D32" s="44" t="s">
        <v>81</v>
      </c>
      <c r="E32" s="45" t="s">
        <v>82</v>
      </c>
    </row>
    <row r="33" spans="1:5" s="46" customFormat="1" ht="15.6" x14ac:dyDescent="0.3">
      <c r="A33" s="47"/>
      <c r="B33" s="48"/>
      <c r="C33" s="48"/>
      <c r="D33" s="48"/>
      <c r="E33" s="49"/>
    </row>
    <row r="34" spans="1:5" s="46" customFormat="1" ht="28.8" x14ac:dyDescent="0.3">
      <c r="A34" s="43" t="s">
        <v>83</v>
      </c>
      <c r="B34" s="44" t="s">
        <v>84</v>
      </c>
      <c r="C34" s="44" t="s">
        <v>85</v>
      </c>
      <c r="D34" s="44" t="s">
        <v>86</v>
      </c>
      <c r="E34" s="45" t="s">
        <v>87</v>
      </c>
    </row>
    <row r="35" spans="1:5" ht="15" thickBot="1" x14ac:dyDescent="0.35">
      <c r="A35" s="56"/>
      <c r="B35" s="57"/>
      <c r="C35" s="57"/>
      <c r="D35" s="58"/>
      <c r="E35" s="59"/>
    </row>
    <row r="36" spans="1:5" ht="15.6" x14ac:dyDescent="0.3">
      <c r="A36" s="51" t="s">
        <v>88</v>
      </c>
      <c r="E36" s="52" t="s">
        <v>116</v>
      </c>
    </row>
  </sheetData>
  <sheetProtection algorithmName="SHA-512" hashValue="MvcJFeNTljga+7Jd8lF2yWu4mcvW7DpPdQVuQAJAwoSZbeJPGdZ/SWDGWBEJtn59SldID5Q3WgwPlDQkZpDEPA==" saltValue="PNqbln1BzkP0dCGeFDmpjw==" spinCount="100000" sheet="1" objects="1" scenarios="1"/>
  <pageMargins left="0.7" right="0.7" top="0.75" bottom="0.75" header="0.3" footer="0.3"/>
  <pageSetup scale="50" orientation="landscape" r:id="rId1"/>
  <headerFooter>
    <oddHeader>&amp;F</oddHeader>
    <oddFooter>&amp;C&amp;A&amp;R&amp;P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0482-8956-4CCF-A648-38A1328CC8E6}">
  <dimension ref="A1:AS94"/>
  <sheetViews>
    <sheetView workbookViewId="0">
      <selection activeCell="A48" sqref="A48"/>
    </sheetView>
  </sheetViews>
  <sheetFormatPr defaultColWidth="8.6640625" defaultRowHeight="14.4" x14ac:dyDescent="0.3"/>
  <cols>
    <col min="2" max="2" width="10.6640625" customWidth="1"/>
    <col min="3" max="3" width="11.109375" bestFit="1" customWidth="1"/>
    <col min="5" max="5" width="11.109375" bestFit="1" customWidth="1"/>
    <col min="6" max="7" width="9.109375" bestFit="1" customWidth="1"/>
    <col min="8" max="8" width="9.88671875" bestFit="1" customWidth="1"/>
    <col min="9" max="9" width="10.33203125" bestFit="1" customWidth="1"/>
    <col min="10" max="10" width="9.44140625" bestFit="1" customWidth="1"/>
    <col min="11" max="11" width="10.33203125" bestFit="1" customWidth="1"/>
    <col min="12" max="13" width="9.33203125" bestFit="1" customWidth="1"/>
    <col min="14" max="14" width="9.44140625" bestFit="1" customWidth="1"/>
    <col min="15" max="15" width="9.33203125" bestFit="1" customWidth="1"/>
    <col min="16" max="16" width="10.33203125" bestFit="1" customWidth="1"/>
    <col min="17" max="22" width="9.33203125" bestFit="1" customWidth="1"/>
    <col min="23" max="23" width="10.33203125" bestFit="1" customWidth="1"/>
    <col min="24" max="27" width="9.33203125" bestFit="1" customWidth="1"/>
    <col min="28" max="28" width="10.33203125" bestFit="1" customWidth="1"/>
    <col min="29" max="34" width="9.33203125" customWidth="1"/>
    <col min="35" max="35" width="10.33203125" bestFit="1" customWidth="1"/>
    <col min="36" max="39" width="9.33203125" customWidth="1"/>
    <col min="40" max="40" width="10.33203125" bestFit="1" customWidth="1"/>
    <col min="42" max="42" width="17" customWidth="1"/>
    <col min="43" max="43" width="17.33203125" bestFit="1" customWidth="1"/>
    <col min="44" max="44" width="14" customWidth="1"/>
    <col min="45" max="45" width="11.44140625" bestFit="1" customWidth="1"/>
  </cols>
  <sheetData>
    <row r="1" spans="1:40" ht="18.600000000000001" thickBot="1" x14ac:dyDescent="0.4">
      <c r="A1" s="181" t="s">
        <v>198</v>
      </c>
      <c r="B1" s="182"/>
      <c r="C1" s="182"/>
      <c r="D1" s="182"/>
      <c r="E1" s="182"/>
      <c r="F1" s="183"/>
      <c r="G1" s="136" t="s">
        <v>199</v>
      </c>
      <c r="H1" s="136"/>
      <c r="I1" s="137"/>
      <c r="J1" s="138"/>
      <c r="K1" s="139"/>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row>
    <row r="2" spans="1:40" ht="16.2" thickBot="1" x14ac:dyDescent="0.35">
      <c r="A2" s="184" t="s">
        <v>232</v>
      </c>
      <c r="B2" s="182"/>
      <c r="C2" s="182"/>
      <c r="D2" s="182"/>
      <c r="E2" s="182"/>
      <c r="F2" s="183"/>
      <c r="G2" s="136" t="s">
        <v>200</v>
      </c>
      <c r="H2" s="137"/>
      <c r="I2" s="137"/>
      <c r="J2" s="137"/>
      <c r="K2" s="139"/>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row>
    <row r="3" spans="1:40" ht="15.6" x14ac:dyDescent="0.3">
      <c r="A3" s="141"/>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row>
    <row r="31" spans="5:16" x14ac:dyDescent="0.3">
      <c r="E31" s="143"/>
      <c r="F31" s="143"/>
      <c r="G31" s="143"/>
      <c r="H31" s="143"/>
      <c r="I31" s="143"/>
      <c r="J31" s="143"/>
      <c r="K31" s="143"/>
      <c r="L31" s="143"/>
      <c r="M31" s="143"/>
      <c r="N31" s="143"/>
      <c r="O31" s="143"/>
      <c r="P31" s="143"/>
    </row>
    <row r="37" spans="1:43" x14ac:dyDescent="0.3">
      <c r="AQ37" s="143"/>
    </row>
    <row r="40" spans="1:43" x14ac:dyDescent="0.3">
      <c r="B40" s="144"/>
      <c r="C40" s="144"/>
      <c r="D40" s="144"/>
      <c r="E40" s="145" t="str">
        <f>E48</f>
        <v>JUL-2020</v>
      </c>
      <c r="F40" s="145" t="str">
        <f t="shared" ref="F40:AN40" si="0">F48</f>
        <v>AUG-2020</v>
      </c>
      <c r="G40" s="145" t="str">
        <f t="shared" si="0"/>
        <v>SEP-2020</v>
      </c>
      <c r="H40" s="145" t="str">
        <f t="shared" si="0"/>
        <v>OCT-2020</v>
      </c>
      <c r="I40" s="145" t="str">
        <f t="shared" si="0"/>
        <v>NOV-2020</v>
      </c>
      <c r="J40" s="145" t="str">
        <f t="shared" si="0"/>
        <v>DEC-2020</v>
      </c>
      <c r="K40" s="145" t="str">
        <f t="shared" si="0"/>
        <v>JAN-2021</v>
      </c>
      <c r="L40" s="145" t="str">
        <f t="shared" si="0"/>
        <v>FEB-2021</v>
      </c>
      <c r="M40" s="145" t="str">
        <f t="shared" si="0"/>
        <v>MAR-2021</v>
      </c>
      <c r="N40" s="145" t="str">
        <f t="shared" si="0"/>
        <v>APR-2021</v>
      </c>
      <c r="O40" s="145" t="str">
        <f t="shared" si="0"/>
        <v>MAY-2021</v>
      </c>
      <c r="P40" s="146" t="str">
        <f t="shared" si="0"/>
        <v>JUN-2021</v>
      </c>
      <c r="Q40" s="145" t="str">
        <f t="shared" si="0"/>
        <v>JUL-2021</v>
      </c>
      <c r="R40" s="145" t="str">
        <f t="shared" si="0"/>
        <v>AUG-2021</v>
      </c>
      <c r="S40" s="145" t="str">
        <f t="shared" si="0"/>
        <v>SEP-2021</v>
      </c>
      <c r="T40" s="145" t="str">
        <f t="shared" si="0"/>
        <v>OCT-2021</v>
      </c>
      <c r="U40" s="145" t="str">
        <f t="shared" si="0"/>
        <v>NOV-2021</v>
      </c>
      <c r="V40" s="145" t="str">
        <f t="shared" si="0"/>
        <v>DEC-2021</v>
      </c>
      <c r="W40" s="145" t="str">
        <f t="shared" si="0"/>
        <v>JAN-2022</v>
      </c>
      <c r="X40" s="145" t="str">
        <f t="shared" si="0"/>
        <v>FEB-2022</v>
      </c>
      <c r="Y40" s="145" t="str">
        <f t="shared" si="0"/>
        <v>MAR-2022</v>
      </c>
      <c r="Z40" s="145" t="str">
        <f t="shared" si="0"/>
        <v>APR-2022</v>
      </c>
      <c r="AA40" s="145" t="str">
        <f t="shared" si="0"/>
        <v>MAY-2022</v>
      </c>
      <c r="AB40" s="146" t="str">
        <f t="shared" si="0"/>
        <v>JUN-2022</v>
      </c>
      <c r="AC40" s="145" t="str">
        <f t="shared" si="0"/>
        <v>JUL-2022</v>
      </c>
      <c r="AD40" s="145" t="str">
        <f t="shared" si="0"/>
        <v>AUG-2022</v>
      </c>
      <c r="AE40" s="145" t="str">
        <f t="shared" si="0"/>
        <v>SEP-2022</v>
      </c>
      <c r="AF40" s="145" t="str">
        <f t="shared" si="0"/>
        <v>OCT-2022</v>
      </c>
      <c r="AG40" s="145" t="str">
        <f t="shared" si="0"/>
        <v>NOV-2022</v>
      </c>
      <c r="AH40" s="145" t="str">
        <f t="shared" si="0"/>
        <v>DEC-2022</v>
      </c>
      <c r="AI40" s="145" t="str">
        <f t="shared" si="0"/>
        <v>JAN-2023</v>
      </c>
      <c r="AJ40" s="145" t="str">
        <f t="shared" si="0"/>
        <v>FEB-2023</v>
      </c>
      <c r="AK40" s="145" t="str">
        <f t="shared" si="0"/>
        <v>MAR-2023</v>
      </c>
      <c r="AL40" s="145" t="str">
        <f t="shared" si="0"/>
        <v>APR-2023</v>
      </c>
      <c r="AM40" s="145" t="str">
        <f t="shared" si="0"/>
        <v>MAY-2023</v>
      </c>
      <c r="AN40" s="145" t="str">
        <f t="shared" si="0"/>
        <v>JUN-2023</v>
      </c>
    </row>
    <row r="41" spans="1:43" x14ac:dyDescent="0.3">
      <c r="D41" s="147" t="s">
        <v>118</v>
      </c>
      <c r="E41" s="143">
        <f>E66-E84</f>
        <v>8941.8599999999933</v>
      </c>
      <c r="F41" s="143">
        <f t="shared" ref="F41:AN41" si="1">F66-F84</f>
        <v>-25024.366000000002</v>
      </c>
      <c r="G41" s="143">
        <f t="shared" si="1"/>
        <v>-21317.140999999996</v>
      </c>
      <c r="H41" s="143">
        <f t="shared" si="1"/>
        <v>104972.81700000002</v>
      </c>
      <c r="I41" s="143">
        <f t="shared" si="1"/>
        <v>99205.518000000011</v>
      </c>
      <c r="J41" s="143">
        <f t="shared" si="1"/>
        <v>-47218.812000000005</v>
      </c>
      <c r="K41" s="143">
        <f t="shared" si="1"/>
        <v>-109138.91099999999</v>
      </c>
      <c r="L41" s="143">
        <f t="shared" si="1"/>
        <v>-6038.7449999999953</v>
      </c>
      <c r="M41" s="143">
        <f t="shared" si="1"/>
        <v>32545.257999999994</v>
      </c>
      <c r="N41" s="143">
        <f t="shared" si="1"/>
        <v>133437.66200000001</v>
      </c>
      <c r="O41" s="143">
        <f t="shared" si="1"/>
        <v>-34307.546999999991</v>
      </c>
      <c r="P41" s="148">
        <f t="shared" si="1"/>
        <v>-101022.62100000001</v>
      </c>
      <c r="Q41" s="143">
        <f t="shared" si="1"/>
        <v>-9038.87673227903</v>
      </c>
      <c r="R41" s="143">
        <f t="shared" si="1"/>
        <v>372.16290545553056</v>
      </c>
      <c r="S41" s="143">
        <f t="shared" si="1"/>
        <v>9279.3641699510554</v>
      </c>
      <c r="T41" s="143">
        <f t="shared" si="1"/>
        <v>102663.30741351347</v>
      </c>
      <c r="U41" s="143">
        <f t="shared" si="1"/>
        <v>89762.895476847538</v>
      </c>
      <c r="V41" s="143">
        <f t="shared" si="1"/>
        <v>-64651.103799234814</v>
      </c>
      <c r="W41" s="143">
        <f t="shared" si="1"/>
        <v>-100844.97028469598</v>
      </c>
      <c r="X41" s="143">
        <f t="shared" si="1"/>
        <v>-8663.8947397740194</v>
      </c>
      <c r="Y41" s="143">
        <f t="shared" si="1"/>
        <v>25557.839978056625</v>
      </c>
      <c r="Z41" s="143">
        <f t="shared" si="1"/>
        <v>123398.96424497635</v>
      </c>
      <c r="AA41" s="143">
        <f t="shared" si="1"/>
        <v>-78140.04568654194</v>
      </c>
      <c r="AB41" s="148">
        <f t="shared" si="1"/>
        <v>-43915.067470385751</v>
      </c>
      <c r="AC41" s="143">
        <f t="shared" si="1"/>
        <v>-10159.53886713686</v>
      </c>
      <c r="AD41" s="143">
        <f t="shared" si="1"/>
        <v>-493.07308408369136</v>
      </c>
      <c r="AE41" s="143">
        <f t="shared" si="1"/>
        <v>8565.2051773931344</v>
      </c>
      <c r="AF41" s="143">
        <f t="shared" si="1"/>
        <v>105246.02709923861</v>
      </c>
      <c r="AG41" s="143">
        <f t="shared" si="1"/>
        <v>91699.804081608178</v>
      </c>
      <c r="AH41" s="143">
        <f t="shared" si="1"/>
        <v>-67662.041026824678</v>
      </c>
      <c r="AI41" s="143">
        <f t="shared" si="1"/>
        <v>-104786.87721811055</v>
      </c>
      <c r="AJ41" s="143">
        <f t="shared" si="1"/>
        <v>-9666.4775949076138</v>
      </c>
      <c r="AK41" s="143">
        <f t="shared" si="1"/>
        <v>25824.615580399397</v>
      </c>
      <c r="AL41" s="143">
        <f t="shared" si="1"/>
        <v>126544.7466545573</v>
      </c>
      <c r="AM41" s="143">
        <f t="shared" si="1"/>
        <v>-81796.933503426015</v>
      </c>
      <c r="AN41" s="143">
        <f t="shared" si="1"/>
        <v>-46222.244303618107</v>
      </c>
    </row>
    <row r="42" spans="1:43" x14ac:dyDescent="0.3">
      <c r="D42" s="147" t="s">
        <v>117</v>
      </c>
      <c r="E42" s="143">
        <f>E41</f>
        <v>8941.8599999999933</v>
      </c>
      <c r="F42" s="143">
        <f>E42+F41</f>
        <v>-16082.506000000008</v>
      </c>
      <c r="G42" s="143">
        <f t="shared" ref="G42:P42" si="2">F42+G41</f>
        <v>-37399.647000000004</v>
      </c>
      <c r="H42" s="143">
        <f t="shared" si="2"/>
        <v>67573.170000000013</v>
      </c>
      <c r="I42" s="143">
        <f t="shared" si="2"/>
        <v>166778.68800000002</v>
      </c>
      <c r="J42" s="143">
        <f t="shared" si="2"/>
        <v>119559.87600000002</v>
      </c>
      <c r="K42" s="143">
        <f t="shared" si="2"/>
        <v>10420.965000000026</v>
      </c>
      <c r="L42" s="143">
        <f t="shared" si="2"/>
        <v>4382.2200000000303</v>
      </c>
      <c r="M42" s="143">
        <f t="shared" si="2"/>
        <v>36927.478000000025</v>
      </c>
      <c r="N42" s="143">
        <f t="shared" si="2"/>
        <v>170365.14000000004</v>
      </c>
      <c r="O42" s="143">
        <f t="shared" si="2"/>
        <v>136057.59300000005</v>
      </c>
      <c r="P42" s="148">
        <f t="shared" si="2"/>
        <v>35034.972000000038</v>
      </c>
      <c r="Q42" s="143">
        <f>Q41</f>
        <v>-9038.87673227903</v>
      </c>
      <c r="R42" s="143">
        <f>Q42+R41</f>
        <v>-8666.7138268234994</v>
      </c>
      <c r="S42" s="143">
        <f t="shared" ref="S42:AB42" si="3">R42+S41</f>
        <v>612.65034312755597</v>
      </c>
      <c r="T42" s="143">
        <f t="shared" si="3"/>
        <v>103275.95775664103</v>
      </c>
      <c r="U42" s="143">
        <f t="shared" si="3"/>
        <v>193038.85323348857</v>
      </c>
      <c r="V42" s="143">
        <f t="shared" si="3"/>
        <v>128387.74943425375</v>
      </c>
      <c r="W42" s="143">
        <f t="shared" si="3"/>
        <v>27542.779149557769</v>
      </c>
      <c r="X42" s="143">
        <f t="shared" si="3"/>
        <v>18878.88440978375</v>
      </c>
      <c r="Y42" s="143">
        <f t="shared" si="3"/>
        <v>44436.724387840375</v>
      </c>
      <c r="Z42" s="143">
        <f t="shared" si="3"/>
        <v>167835.68863281672</v>
      </c>
      <c r="AA42" s="143">
        <f t="shared" si="3"/>
        <v>89695.642946274776</v>
      </c>
      <c r="AB42" s="148">
        <f t="shared" si="3"/>
        <v>45780.575475889025</v>
      </c>
      <c r="AC42" s="143">
        <f>AC41</f>
        <v>-10159.53886713686</v>
      </c>
      <c r="AD42" s="143">
        <f>AC42+AD41</f>
        <v>-10652.611951220551</v>
      </c>
      <c r="AE42" s="143">
        <f t="shared" ref="AE42:AN42" si="4">AD42+AE41</f>
        <v>-2087.4067738274171</v>
      </c>
      <c r="AF42" s="143">
        <f t="shared" si="4"/>
        <v>103158.62032541119</v>
      </c>
      <c r="AG42" s="143">
        <f t="shared" si="4"/>
        <v>194858.42440701937</v>
      </c>
      <c r="AH42" s="143">
        <f t="shared" si="4"/>
        <v>127196.38338019469</v>
      </c>
      <c r="AI42" s="143">
        <f t="shared" si="4"/>
        <v>22409.506162084144</v>
      </c>
      <c r="AJ42" s="143">
        <f t="shared" si="4"/>
        <v>12743.02856717653</v>
      </c>
      <c r="AK42" s="143">
        <f t="shared" si="4"/>
        <v>38567.644147575927</v>
      </c>
      <c r="AL42" s="143">
        <f t="shared" si="4"/>
        <v>165112.39080213322</v>
      </c>
      <c r="AM42" s="143">
        <f t="shared" si="4"/>
        <v>83315.457298707202</v>
      </c>
      <c r="AN42" s="143">
        <f t="shared" si="4"/>
        <v>37093.212995089096</v>
      </c>
    </row>
    <row r="43" spans="1:43" x14ac:dyDescent="0.3">
      <c r="D43" s="147" t="s">
        <v>119</v>
      </c>
      <c r="E43" s="143">
        <f>E41</f>
        <v>8941.8599999999933</v>
      </c>
      <c r="F43" s="143">
        <f>E43+F41</f>
        <v>-16082.506000000008</v>
      </c>
      <c r="G43" s="143">
        <f t="shared" ref="G43:AN43" si="5">F43+G41</f>
        <v>-37399.647000000004</v>
      </c>
      <c r="H43" s="143">
        <f t="shared" si="5"/>
        <v>67573.170000000013</v>
      </c>
      <c r="I43" s="143">
        <f t="shared" si="5"/>
        <v>166778.68800000002</v>
      </c>
      <c r="J43" s="143">
        <f t="shared" si="5"/>
        <v>119559.87600000002</v>
      </c>
      <c r="K43" s="143">
        <f t="shared" si="5"/>
        <v>10420.965000000026</v>
      </c>
      <c r="L43" s="143">
        <f t="shared" si="5"/>
        <v>4382.2200000000303</v>
      </c>
      <c r="M43" s="143">
        <f t="shared" si="5"/>
        <v>36927.478000000025</v>
      </c>
      <c r="N43" s="143">
        <f t="shared" si="5"/>
        <v>170365.14000000004</v>
      </c>
      <c r="O43" s="143">
        <f t="shared" si="5"/>
        <v>136057.59300000005</v>
      </c>
      <c r="P43" s="148">
        <f t="shared" si="5"/>
        <v>35034.972000000038</v>
      </c>
      <c r="Q43" s="143">
        <f t="shared" si="5"/>
        <v>25996.095267721008</v>
      </c>
      <c r="R43" s="143">
        <f t="shared" si="5"/>
        <v>26368.258173176539</v>
      </c>
      <c r="S43" s="143">
        <f t="shared" si="5"/>
        <v>35647.622343127594</v>
      </c>
      <c r="T43" s="143">
        <f t="shared" si="5"/>
        <v>138310.92975664107</v>
      </c>
      <c r="U43" s="143">
        <f t="shared" si="5"/>
        <v>228073.82523348861</v>
      </c>
      <c r="V43" s="143">
        <f t="shared" si="5"/>
        <v>163422.72143425379</v>
      </c>
      <c r="W43" s="143">
        <f t="shared" si="5"/>
        <v>62577.751149557807</v>
      </c>
      <c r="X43" s="143">
        <f t="shared" si="5"/>
        <v>53913.856409783788</v>
      </c>
      <c r="Y43" s="143">
        <f t="shared" si="5"/>
        <v>79471.696387840406</v>
      </c>
      <c r="Z43" s="143">
        <f t="shared" si="5"/>
        <v>202870.66063281675</v>
      </c>
      <c r="AA43" s="143">
        <f t="shared" si="5"/>
        <v>124730.61494627481</v>
      </c>
      <c r="AB43" s="148">
        <f t="shared" si="5"/>
        <v>80815.547475889063</v>
      </c>
      <c r="AC43" s="143">
        <f t="shared" si="5"/>
        <v>70656.008608752207</v>
      </c>
      <c r="AD43" s="143">
        <f t="shared" si="5"/>
        <v>70162.935524668515</v>
      </c>
      <c r="AE43" s="143">
        <f t="shared" si="5"/>
        <v>78728.140702061646</v>
      </c>
      <c r="AF43" s="143">
        <f t="shared" si="5"/>
        <v>183974.16780130024</v>
      </c>
      <c r="AG43" s="143">
        <f t="shared" si="5"/>
        <v>275673.97188290843</v>
      </c>
      <c r="AH43" s="143">
        <f t="shared" si="5"/>
        <v>208011.93085608375</v>
      </c>
      <c r="AI43" s="143">
        <f t="shared" si="5"/>
        <v>103225.05363797321</v>
      </c>
      <c r="AJ43" s="143">
        <f t="shared" si="5"/>
        <v>93558.576043065594</v>
      </c>
      <c r="AK43" s="143">
        <f t="shared" si="5"/>
        <v>119383.19162346498</v>
      </c>
      <c r="AL43" s="143">
        <f t="shared" si="5"/>
        <v>245927.93827802228</v>
      </c>
      <c r="AM43" s="143">
        <f t="shared" si="5"/>
        <v>164131.00477459625</v>
      </c>
      <c r="AN43" s="143">
        <f t="shared" si="5"/>
        <v>117908.76047097814</v>
      </c>
    </row>
    <row r="44" spans="1:43" x14ac:dyDescent="0.3">
      <c r="P44" s="149"/>
      <c r="AB44" s="149"/>
    </row>
    <row r="45" spans="1:43" x14ac:dyDescent="0.3">
      <c r="A45" s="136" t="s">
        <v>201</v>
      </c>
      <c r="B45" s="136"/>
      <c r="C45" s="136"/>
      <c r="D45" s="136"/>
      <c r="E45" s="136"/>
      <c r="F45" s="136"/>
      <c r="G45" s="136"/>
      <c r="H45" s="136"/>
      <c r="I45" s="136"/>
      <c r="J45" s="136"/>
      <c r="K45" s="136"/>
      <c r="L45" s="136"/>
      <c r="P45" s="149"/>
      <c r="AB45" s="149"/>
    </row>
    <row r="46" spans="1:43" x14ac:dyDescent="0.3">
      <c r="P46" s="149"/>
      <c r="AB46" s="149"/>
    </row>
    <row r="47" spans="1:43" ht="15" thickBot="1" x14ac:dyDescent="0.35">
      <c r="B47" s="137"/>
      <c r="C47" s="137"/>
      <c r="D47" s="150" t="s">
        <v>202</v>
      </c>
      <c r="E47" s="94"/>
      <c r="F47" s="94"/>
      <c r="G47" s="94"/>
      <c r="H47" s="94"/>
      <c r="I47" s="94"/>
      <c r="J47" s="94"/>
      <c r="K47" s="94"/>
      <c r="L47" s="94"/>
      <c r="M47" s="94"/>
      <c r="N47" s="95"/>
      <c r="O47" s="95"/>
      <c r="P47" s="96"/>
      <c r="Q47" s="97"/>
      <c r="R47" s="97"/>
      <c r="S47" s="97"/>
      <c r="T47" s="97"/>
      <c r="U47" s="97"/>
      <c r="V47" s="97"/>
      <c r="W47" s="97"/>
      <c r="X47" s="97"/>
      <c r="Y47" s="97"/>
      <c r="Z47" s="97"/>
      <c r="AA47" s="97"/>
      <c r="AB47" s="98"/>
      <c r="AC47" s="97"/>
      <c r="AD47" s="97"/>
      <c r="AE47" s="97"/>
      <c r="AF47" s="97"/>
      <c r="AG47" s="97"/>
      <c r="AH47" s="97"/>
      <c r="AI47" s="97"/>
      <c r="AJ47" s="97"/>
      <c r="AK47" s="97"/>
      <c r="AL47" s="97"/>
      <c r="AM47" s="97"/>
      <c r="AN47" s="99"/>
    </row>
    <row r="48" spans="1:43" ht="15" thickBot="1" x14ac:dyDescent="0.35">
      <c r="B48" s="151" t="s">
        <v>13</v>
      </c>
      <c r="C48" s="1">
        <v>60312</v>
      </c>
      <c r="E48" s="152" t="s">
        <v>97</v>
      </c>
      <c r="F48" s="152" t="s">
        <v>98</v>
      </c>
      <c r="G48" s="152" t="s">
        <v>99</v>
      </c>
      <c r="H48" s="152" t="s">
        <v>100</v>
      </c>
      <c r="I48" s="152" t="s">
        <v>101</v>
      </c>
      <c r="J48" s="152" t="s">
        <v>102</v>
      </c>
      <c r="K48" s="153" t="s">
        <v>188</v>
      </c>
      <c r="L48" s="152" t="s">
        <v>189</v>
      </c>
      <c r="M48" s="152" t="s">
        <v>190</v>
      </c>
      <c r="N48" s="152" t="s">
        <v>187</v>
      </c>
      <c r="O48" s="152" t="s">
        <v>186</v>
      </c>
      <c r="P48" s="152" t="s">
        <v>191</v>
      </c>
      <c r="Q48" s="152" t="s">
        <v>192</v>
      </c>
      <c r="R48" s="152" t="s">
        <v>193</v>
      </c>
      <c r="S48" s="152" t="s">
        <v>194</v>
      </c>
      <c r="T48" s="152" t="s">
        <v>195</v>
      </c>
      <c r="U48" s="152" t="s">
        <v>196</v>
      </c>
      <c r="V48" s="152" t="s">
        <v>197</v>
      </c>
      <c r="W48" s="153" t="s">
        <v>203</v>
      </c>
      <c r="X48" s="152" t="s">
        <v>204</v>
      </c>
      <c r="Y48" s="152" t="s">
        <v>205</v>
      </c>
      <c r="Z48" s="152" t="s">
        <v>206</v>
      </c>
      <c r="AA48" s="152" t="s">
        <v>207</v>
      </c>
      <c r="AB48" s="152" t="s">
        <v>208</v>
      </c>
      <c r="AC48" s="152" t="s">
        <v>209</v>
      </c>
      <c r="AD48" s="152" t="s">
        <v>210</v>
      </c>
      <c r="AE48" s="152" t="s">
        <v>211</v>
      </c>
      <c r="AF48" s="152" t="s">
        <v>212</v>
      </c>
      <c r="AG48" s="152" t="s">
        <v>213</v>
      </c>
      <c r="AH48" s="152" t="s">
        <v>214</v>
      </c>
      <c r="AI48" s="192" t="s">
        <v>220</v>
      </c>
      <c r="AJ48" s="193" t="s">
        <v>221</v>
      </c>
      <c r="AK48" s="193" t="s">
        <v>222</v>
      </c>
      <c r="AL48" s="193" t="s">
        <v>223</v>
      </c>
      <c r="AM48" s="193" t="s">
        <v>224</v>
      </c>
      <c r="AN48" s="193" t="s">
        <v>225</v>
      </c>
    </row>
    <row r="49" spans="2:45" ht="15" thickBot="1" x14ac:dyDescent="0.35">
      <c r="B49" s="178" t="s">
        <v>19</v>
      </c>
      <c r="C49" s="179"/>
      <c r="D49" s="180"/>
      <c r="E49" s="154">
        <v>2548.0639999999999</v>
      </c>
      <c r="F49" s="155">
        <v>1966.335</v>
      </c>
      <c r="G49" s="155">
        <v>4604.9629999999997</v>
      </c>
      <c r="H49" s="155">
        <v>121001.1</v>
      </c>
      <c r="I49" s="155">
        <v>157497.5</v>
      </c>
      <c r="J49" s="155">
        <v>5859.4</v>
      </c>
      <c r="K49" s="155">
        <v>4087.9</v>
      </c>
      <c r="L49" s="155">
        <v>5811.4</v>
      </c>
      <c r="M49" s="155">
        <v>47877</v>
      </c>
      <c r="N49" s="155">
        <v>197170.6</v>
      </c>
      <c r="O49" s="155">
        <v>4896.5</v>
      </c>
      <c r="P49" s="156">
        <v>4892.3999999999996</v>
      </c>
      <c r="Q49" s="154">
        <v>3736.9965840561035</v>
      </c>
      <c r="R49" s="155">
        <v>1967.4940796100977</v>
      </c>
      <c r="S49" s="155">
        <v>8716.2734906834939</v>
      </c>
      <c r="T49" s="155">
        <v>121025.50012074737</v>
      </c>
      <c r="U49" s="155">
        <v>152310.22347702205</v>
      </c>
      <c r="V49" s="155">
        <v>5758.1621952686683</v>
      </c>
      <c r="W49" s="155">
        <v>4226.3933894069278</v>
      </c>
      <c r="X49" s="155">
        <v>5523.1894501371844</v>
      </c>
      <c r="Y49" s="155">
        <v>46558.764574297405</v>
      </c>
      <c r="Z49" s="155">
        <v>193518.33567282351</v>
      </c>
      <c r="AA49" s="155">
        <v>6043.6537899491796</v>
      </c>
      <c r="AB49" s="156">
        <v>4534.0071759979764</v>
      </c>
      <c r="AC49" s="154">
        <v>3849.1064815777868</v>
      </c>
      <c r="AD49" s="155">
        <v>2026.5189019984007</v>
      </c>
      <c r="AE49" s="155">
        <v>8977.7616954039986</v>
      </c>
      <c r="AF49" s="155">
        <v>124656.26512436979</v>
      </c>
      <c r="AG49" s="155">
        <v>156879.53018133272</v>
      </c>
      <c r="AH49" s="155">
        <v>5930.9070611267289</v>
      </c>
      <c r="AI49" s="155">
        <v>4353.1851910891355</v>
      </c>
      <c r="AJ49" s="155">
        <v>5688.8851336412999</v>
      </c>
      <c r="AK49" s="155">
        <v>47955.527511526328</v>
      </c>
      <c r="AL49" s="155">
        <v>199323.88574300823</v>
      </c>
      <c r="AM49" s="155">
        <v>6224.9634036476555</v>
      </c>
      <c r="AN49" s="156">
        <v>4670.0273912779157</v>
      </c>
    </row>
    <row r="50" spans="2:45" ht="15" thickBot="1" x14ac:dyDescent="0.35">
      <c r="B50" s="178" t="s">
        <v>120</v>
      </c>
      <c r="C50" s="179"/>
      <c r="D50" s="180"/>
      <c r="E50" s="157">
        <v>0</v>
      </c>
      <c r="F50" s="158">
        <v>0</v>
      </c>
      <c r="G50" s="158">
        <v>0</v>
      </c>
      <c r="H50" s="158">
        <v>0</v>
      </c>
      <c r="I50" s="158">
        <v>0</v>
      </c>
      <c r="J50" s="158">
        <v>0</v>
      </c>
      <c r="K50" s="158">
        <v>0</v>
      </c>
      <c r="L50" s="158">
        <v>0</v>
      </c>
      <c r="M50" s="158">
        <v>0</v>
      </c>
      <c r="N50" s="158">
        <v>0</v>
      </c>
      <c r="O50" s="158">
        <v>0</v>
      </c>
      <c r="P50" s="159">
        <v>0</v>
      </c>
      <c r="Q50" s="157">
        <v>0</v>
      </c>
      <c r="R50" s="158">
        <v>0</v>
      </c>
      <c r="S50" s="158">
        <v>0</v>
      </c>
      <c r="T50" s="158">
        <v>0</v>
      </c>
      <c r="U50" s="158">
        <v>0</v>
      </c>
      <c r="V50" s="158">
        <v>0</v>
      </c>
      <c r="W50" s="158">
        <v>0</v>
      </c>
      <c r="X50" s="158">
        <v>0</v>
      </c>
      <c r="Y50" s="158">
        <v>0</v>
      </c>
      <c r="Z50" s="158">
        <v>0</v>
      </c>
      <c r="AA50" s="158">
        <v>0</v>
      </c>
      <c r="AB50" s="159">
        <v>0</v>
      </c>
      <c r="AC50" s="157">
        <v>0</v>
      </c>
      <c r="AD50" s="158">
        <v>0</v>
      </c>
      <c r="AE50" s="158">
        <v>0</v>
      </c>
      <c r="AF50" s="158">
        <v>0</v>
      </c>
      <c r="AG50" s="158">
        <v>0</v>
      </c>
      <c r="AH50" s="158">
        <v>0</v>
      </c>
      <c r="AI50" s="158">
        <v>0</v>
      </c>
      <c r="AJ50" s="158">
        <v>0</v>
      </c>
      <c r="AK50" s="158">
        <v>0</v>
      </c>
      <c r="AL50" s="158">
        <v>0</v>
      </c>
      <c r="AM50" s="158">
        <v>0</v>
      </c>
      <c r="AN50" s="159">
        <v>0</v>
      </c>
    </row>
    <row r="51" spans="2:45" ht="15" thickBot="1" x14ac:dyDescent="0.35">
      <c r="B51" s="178" t="s">
        <v>121</v>
      </c>
      <c r="C51" s="179"/>
      <c r="D51" s="180"/>
      <c r="E51" s="157">
        <v>0</v>
      </c>
      <c r="F51" s="158">
        <v>0</v>
      </c>
      <c r="G51" s="158">
        <v>0</v>
      </c>
      <c r="H51" s="158">
        <v>0</v>
      </c>
      <c r="I51" s="158">
        <v>0</v>
      </c>
      <c r="J51" s="158">
        <v>0</v>
      </c>
      <c r="K51" s="158">
        <v>0</v>
      </c>
      <c r="L51" s="158">
        <v>0</v>
      </c>
      <c r="M51" s="158">
        <v>0</v>
      </c>
      <c r="N51" s="158">
        <v>0</v>
      </c>
      <c r="O51" s="158">
        <v>0</v>
      </c>
      <c r="P51" s="159">
        <v>0</v>
      </c>
      <c r="Q51" s="157">
        <v>0</v>
      </c>
      <c r="R51" s="158">
        <v>0</v>
      </c>
      <c r="S51" s="158">
        <v>0</v>
      </c>
      <c r="T51" s="158">
        <v>0</v>
      </c>
      <c r="U51" s="158">
        <v>0</v>
      </c>
      <c r="V51" s="158">
        <v>0</v>
      </c>
      <c r="W51" s="158">
        <v>0</v>
      </c>
      <c r="X51" s="158">
        <v>0</v>
      </c>
      <c r="Y51" s="158">
        <v>0</v>
      </c>
      <c r="Z51" s="158">
        <v>0</v>
      </c>
      <c r="AA51" s="158">
        <v>0</v>
      </c>
      <c r="AB51" s="159">
        <v>0</v>
      </c>
      <c r="AC51" s="157">
        <v>0</v>
      </c>
      <c r="AD51" s="158">
        <v>0</v>
      </c>
      <c r="AE51" s="158">
        <v>0</v>
      </c>
      <c r="AF51" s="158">
        <v>0</v>
      </c>
      <c r="AG51" s="158">
        <v>0</v>
      </c>
      <c r="AH51" s="158">
        <v>0</v>
      </c>
      <c r="AI51" s="158">
        <v>0</v>
      </c>
      <c r="AJ51" s="158">
        <v>0</v>
      </c>
      <c r="AK51" s="158">
        <v>0</v>
      </c>
      <c r="AL51" s="158">
        <v>0</v>
      </c>
      <c r="AM51" s="158">
        <v>0</v>
      </c>
      <c r="AN51" s="159">
        <v>0</v>
      </c>
    </row>
    <row r="52" spans="2:45" ht="15" thickBot="1" x14ac:dyDescent="0.35">
      <c r="B52" s="178" t="s">
        <v>134</v>
      </c>
      <c r="C52" s="179"/>
      <c r="D52" s="180"/>
      <c r="E52" s="157">
        <v>0</v>
      </c>
      <c r="F52" s="158">
        <v>0</v>
      </c>
      <c r="G52" s="158">
        <v>0</v>
      </c>
      <c r="H52" s="158">
        <v>0</v>
      </c>
      <c r="I52" s="158">
        <v>0</v>
      </c>
      <c r="J52" s="158">
        <v>51321.4</v>
      </c>
      <c r="K52" s="158">
        <v>0</v>
      </c>
      <c r="L52" s="158">
        <v>0</v>
      </c>
      <c r="M52" s="158">
        <v>0</v>
      </c>
      <c r="N52" s="158">
        <v>0</v>
      </c>
      <c r="O52" s="158">
        <v>51321.4</v>
      </c>
      <c r="P52" s="159">
        <v>0</v>
      </c>
      <c r="Q52" s="157">
        <v>0</v>
      </c>
      <c r="R52" s="158">
        <v>0</v>
      </c>
      <c r="S52" s="158">
        <v>0</v>
      </c>
      <c r="T52" s="158">
        <v>0</v>
      </c>
      <c r="U52" s="158">
        <v>0</v>
      </c>
      <c r="V52" s="158">
        <v>50085.130100977891</v>
      </c>
      <c r="W52" s="158">
        <v>1229.1525120708354</v>
      </c>
      <c r="X52" s="158">
        <v>0</v>
      </c>
      <c r="Y52" s="158">
        <v>0</v>
      </c>
      <c r="Z52" s="158">
        <v>0</v>
      </c>
      <c r="AA52" s="158">
        <v>51314.277386951275</v>
      </c>
      <c r="AB52" s="159">
        <v>0</v>
      </c>
      <c r="AC52" s="157">
        <v>0</v>
      </c>
      <c r="AD52" s="158">
        <v>0</v>
      </c>
      <c r="AE52" s="158">
        <v>0</v>
      </c>
      <c r="AF52" s="158">
        <v>0</v>
      </c>
      <c r="AG52" s="158">
        <v>0</v>
      </c>
      <c r="AH52" s="158">
        <v>50085.130100977891</v>
      </c>
      <c r="AI52" s="158">
        <v>1229.1525120708354</v>
      </c>
      <c r="AJ52" s="158">
        <v>0</v>
      </c>
      <c r="AK52" s="158">
        <v>0</v>
      </c>
      <c r="AL52" s="158">
        <v>0</v>
      </c>
      <c r="AM52" s="158">
        <v>51314.277386951275</v>
      </c>
      <c r="AN52" s="159">
        <v>0</v>
      </c>
    </row>
    <row r="53" spans="2:45" ht="15" thickBot="1" x14ac:dyDescent="0.35">
      <c r="B53" s="178" t="s">
        <v>122</v>
      </c>
      <c r="C53" s="179"/>
      <c r="D53" s="180"/>
      <c r="E53" s="157">
        <v>0</v>
      </c>
      <c r="F53" s="158">
        <v>0</v>
      </c>
      <c r="G53" s="158">
        <v>0</v>
      </c>
      <c r="H53" s="158">
        <v>0</v>
      </c>
      <c r="I53" s="158">
        <v>0</v>
      </c>
      <c r="J53" s="158">
        <v>0</v>
      </c>
      <c r="K53" s="158">
        <v>0</v>
      </c>
      <c r="L53" s="158">
        <v>0</v>
      </c>
      <c r="M53" s="158">
        <v>0</v>
      </c>
      <c r="N53" s="158">
        <v>0</v>
      </c>
      <c r="O53" s="158">
        <v>0</v>
      </c>
      <c r="P53" s="159">
        <v>0</v>
      </c>
      <c r="Q53" s="157">
        <v>0</v>
      </c>
      <c r="R53" s="158">
        <v>0</v>
      </c>
      <c r="S53" s="158">
        <v>0</v>
      </c>
      <c r="T53" s="158">
        <v>0</v>
      </c>
      <c r="U53" s="158">
        <v>0</v>
      </c>
      <c r="V53" s="158">
        <v>0</v>
      </c>
      <c r="W53" s="158">
        <v>0</v>
      </c>
      <c r="X53" s="158">
        <v>0</v>
      </c>
      <c r="Y53" s="158">
        <v>0</v>
      </c>
      <c r="Z53" s="158">
        <v>0</v>
      </c>
      <c r="AA53" s="158">
        <v>0</v>
      </c>
      <c r="AB53" s="159">
        <v>0</v>
      </c>
      <c r="AC53" s="157">
        <v>0</v>
      </c>
      <c r="AD53" s="158">
        <v>0</v>
      </c>
      <c r="AE53" s="158">
        <v>0</v>
      </c>
      <c r="AF53" s="158">
        <v>0</v>
      </c>
      <c r="AG53" s="158">
        <v>0</v>
      </c>
      <c r="AH53" s="158">
        <v>0</v>
      </c>
      <c r="AI53" s="158">
        <v>0</v>
      </c>
      <c r="AJ53" s="158">
        <v>0</v>
      </c>
      <c r="AK53" s="158">
        <v>0</v>
      </c>
      <c r="AL53" s="158">
        <v>0</v>
      </c>
      <c r="AM53" s="158">
        <v>0</v>
      </c>
      <c r="AN53" s="159">
        <v>0</v>
      </c>
    </row>
    <row r="54" spans="2:45" ht="15" thickBot="1" x14ac:dyDescent="0.35">
      <c r="B54" s="178" t="s">
        <v>125</v>
      </c>
      <c r="C54" s="179"/>
      <c r="D54" s="180"/>
      <c r="E54" s="157">
        <v>0</v>
      </c>
      <c r="F54" s="158">
        <v>0</v>
      </c>
      <c r="G54" s="158">
        <v>0</v>
      </c>
      <c r="H54" s="158">
        <v>0</v>
      </c>
      <c r="I54" s="158">
        <v>0</v>
      </c>
      <c r="J54" s="158">
        <v>0</v>
      </c>
      <c r="K54" s="158">
        <v>0</v>
      </c>
      <c r="L54" s="158">
        <v>0</v>
      </c>
      <c r="M54" s="158">
        <v>0</v>
      </c>
      <c r="N54" s="158">
        <v>0</v>
      </c>
      <c r="O54" s="158">
        <v>0</v>
      </c>
      <c r="P54" s="159">
        <v>0</v>
      </c>
      <c r="Q54" s="157">
        <v>0</v>
      </c>
      <c r="R54" s="158">
        <v>0</v>
      </c>
      <c r="S54" s="158">
        <v>0</v>
      </c>
      <c r="T54" s="158">
        <v>0</v>
      </c>
      <c r="U54" s="158">
        <v>0</v>
      </c>
      <c r="V54" s="158">
        <v>0</v>
      </c>
      <c r="W54" s="158">
        <v>0</v>
      </c>
      <c r="X54" s="158">
        <v>0</v>
      </c>
      <c r="Y54" s="158">
        <v>0</v>
      </c>
      <c r="Z54" s="158">
        <v>0</v>
      </c>
      <c r="AA54" s="158">
        <v>0</v>
      </c>
      <c r="AB54" s="159">
        <v>0</v>
      </c>
      <c r="AC54" s="157">
        <v>0</v>
      </c>
      <c r="AD54" s="158">
        <v>0</v>
      </c>
      <c r="AE54" s="158">
        <v>0</v>
      </c>
      <c r="AF54" s="158">
        <v>0</v>
      </c>
      <c r="AG54" s="158">
        <v>0</v>
      </c>
      <c r="AH54" s="158">
        <v>0</v>
      </c>
      <c r="AI54" s="158">
        <v>0</v>
      </c>
      <c r="AJ54" s="158">
        <v>0</v>
      </c>
      <c r="AK54" s="158">
        <v>0</v>
      </c>
      <c r="AL54" s="158">
        <v>0</v>
      </c>
      <c r="AM54" s="158">
        <v>0</v>
      </c>
      <c r="AN54" s="159">
        <v>0</v>
      </c>
    </row>
    <row r="55" spans="2:45" ht="15" thickBot="1" x14ac:dyDescent="0.35">
      <c r="B55" s="178" t="s">
        <v>126</v>
      </c>
      <c r="C55" s="179"/>
      <c r="D55" s="180"/>
      <c r="E55" s="157">
        <v>13130.656999999999</v>
      </c>
      <c r="F55" s="158">
        <v>28198.346000000001</v>
      </c>
      <c r="G55" s="158">
        <v>15790.165000000001</v>
      </c>
      <c r="H55" s="158">
        <v>12725.7</v>
      </c>
      <c r="I55" s="158">
        <v>21468.799999999999</v>
      </c>
      <c r="J55" s="158">
        <v>27988.799999999999</v>
      </c>
      <c r="K55" s="158">
        <v>28073.9</v>
      </c>
      <c r="L55" s="158">
        <v>23292.799999999999</v>
      </c>
      <c r="M55" s="158">
        <v>15632</v>
      </c>
      <c r="N55" s="158">
        <v>15078.9</v>
      </c>
      <c r="O55" s="158">
        <v>18643.599999999999</v>
      </c>
      <c r="P55" s="159">
        <v>22359.5</v>
      </c>
      <c r="Q55" s="157">
        <v>16202.519992253861</v>
      </c>
      <c r="R55" s="158">
        <v>26544.892609666756</v>
      </c>
      <c r="S55" s="158">
        <v>18824.444354062627</v>
      </c>
      <c r="T55" s="158">
        <v>15022.129419332261</v>
      </c>
      <c r="U55" s="158">
        <v>23639.416756006878</v>
      </c>
      <c r="V55" s="158">
        <v>20721.129159123841</v>
      </c>
      <c r="W55" s="158">
        <v>30707.811937208819</v>
      </c>
      <c r="X55" s="158">
        <v>23015.768756740636</v>
      </c>
      <c r="Y55" s="158">
        <v>14730.889537784602</v>
      </c>
      <c r="Z55" s="158">
        <v>15714.115501929127</v>
      </c>
      <c r="AA55" s="158">
        <v>21359.791638698935</v>
      </c>
      <c r="AB55" s="159">
        <v>22100.290137191652</v>
      </c>
      <c r="AC55" s="157">
        <v>16364.5451921764</v>
      </c>
      <c r="AD55" s="158">
        <v>26810.341535763426</v>
      </c>
      <c r="AE55" s="158">
        <v>19012.688797603252</v>
      </c>
      <c r="AF55" s="158">
        <v>15172.350713525584</v>
      </c>
      <c r="AG55" s="158">
        <v>23875.810923566947</v>
      </c>
      <c r="AH55" s="158">
        <v>20928.340450715081</v>
      </c>
      <c r="AI55" s="158">
        <v>31014.890056580905</v>
      </c>
      <c r="AJ55" s="158">
        <v>23245.926444308043</v>
      </c>
      <c r="AK55" s="158">
        <v>14878.198433162448</v>
      </c>
      <c r="AL55" s="158">
        <v>15871.256656948419</v>
      </c>
      <c r="AM55" s="158">
        <v>21573.389555085923</v>
      </c>
      <c r="AN55" s="159">
        <v>22321.29303856357</v>
      </c>
    </row>
    <row r="56" spans="2:45" ht="15" thickBot="1" x14ac:dyDescent="0.35">
      <c r="B56" s="178" t="s">
        <v>123</v>
      </c>
      <c r="C56" s="179"/>
      <c r="D56" s="180"/>
      <c r="E56" s="157">
        <v>0</v>
      </c>
      <c r="F56" s="158">
        <v>0</v>
      </c>
      <c r="G56" s="158">
        <v>0</v>
      </c>
      <c r="H56" s="158">
        <v>0</v>
      </c>
      <c r="I56" s="158">
        <v>0</v>
      </c>
      <c r="J56" s="158">
        <v>0</v>
      </c>
      <c r="K56" s="158">
        <v>0</v>
      </c>
      <c r="L56" s="158">
        <v>0</v>
      </c>
      <c r="M56" s="158">
        <v>0</v>
      </c>
      <c r="N56" s="158">
        <v>0</v>
      </c>
      <c r="O56" s="158">
        <v>0</v>
      </c>
      <c r="P56" s="159">
        <v>0</v>
      </c>
      <c r="Q56" s="157">
        <v>0</v>
      </c>
      <c r="R56" s="158">
        <v>0</v>
      </c>
      <c r="S56" s="158">
        <v>0</v>
      </c>
      <c r="T56" s="158">
        <v>0</v>
      </c>
      <c r="U56" s="158">
        <v>0</v>
      </c>
      <c r="V56" s="158">
        <v>0</v>
      </c>
      <c r="W56" s="158">
        <v>0</v>
      </c>
      <c r="X56" s="158">
        <v>0</v>
      </c>
      <c r="Y56" s="158">
        <v>0</v>
      </c>
      <c r="Z56" s="158">
        <v>0</v>
      </c>
      <c r="AA56" s="158">
        <v>0</v>
      </c>
      <c r="AB56" s="159">
        <v>0</v>
      </c>
      <c r="AC56" s="157">
        <v>0</v>
      </c>
      <c r="AD56" s="158">
        <v>0</v>
      </c>
      <c r="AE56" s="158">
        <v>0</v>
      </c>
      <c r="AF56" s="158">
        <v>0</v>
      </c>
      <c r="AG56" s="158">
        <v>0</v>
      </c>
      <c r="AH56" s="158">
        <v>0</v>
      </c>
      <c r="AI56" s="158">
        <v>0</v>
      </c>
      <c r="AJ56" s="158">
        <v>0</v>
      </c>
      <c r="AK56" s="158">
        <v>0</v>
      </c>
      <c r="AL56" s="158">
        <v>0</v>
      </c>
      <c r="AM56" s="158">
        <v>0</v>
      </c>
      <c r="AN56" s="159">
        <v>0</v>
      </c>
    </row>
    <row r="57" spans="2:45" ht="15" thickBot="1" x14ac:dyDescent="0.35">
      <c r="B57" s="178" t="s">
        <v>174</v>
      </c>
      <c r="C57" s="179"/>
      <c r="D57" s="180"/>
      <c r="E57" s="157">
        <v>715.18299999999999</v>
      </c>
      <c r="F57" s="158">
        <v>1226.8340000000001</v>
      </c>
      <c r="G57" s="158">
        <v>355.79300000000001</v>
      </c>
      <c r="H57" s="158">
        <v>250.917</v>
      </c>
      <c r="I57" s="158">
        <v>264.41800000000001</v>
      </c>
      <c r="J57" s="158">
        <v>377.58800000000002</v>
      </c>
      <c r="K57" s="158">
        <v>306.589</v>
      </c>
      <c r="L57" s="158">
        <v>843.20500000000004</v>
      </c>
      <c r="M57" s="158">
        <v>515.64200000000005</v>
      </c>
      <c r="N57" s="158">
        <v>226.78700000000001</v>
      </c>
      <c r="O57" s="158">
        <v>240.02799999999999</v>
      </c>
      <c r="P57" s="159">
        <v>351.17899999999997</v>
      </c>
      <c r="Q57" s="157">
        <v>310.12700000000001</v>
      </c>
      <c r="R57" s="158">
        <v>907.60799999999995</v>
      </c>
      <c r="S57" s="158">
        <v>306.42200000000003</v>
      </c>
      <c r="T57" s="158">
        <v>235.58</v>
      </c>
      <c r="U57" s="158">
        <v>271.34100000000001</v>
      </c>
      <c r="V57" s="158">
        <v>320.28399999999999</v>
      </c>
      <c r="W57" s="158">
        <v>233.79900000000001</v>
      </c>
      <c r="X57" s="158">
        <v>738.03899999999999</v>
      </c>
      <c r="Y57" s="158">
        <v>267.04500000000002</v>
      </c>
      <c r="Z57" s="158">
        <v>233.85300000000001</v>
      </c>
      <c r="AA57" s="158">
        <v>268.48200000000003</v>
      </c>
      <c r="AB57" s="159">
        <v>284.38499999999999</v>
      </c>
      <c r="AC57" s="157">
        <v>263.60795000000002</v>
      </c>
      <c r="AD57" s="158">
        <v>771.46679999999992</v>
      </c>
      <c r="AE57" s="158">
        <v>260.45870000000002</v>
      </c>
      <c r="AF57" s="158">
        <v>200.24299999999999</v>
      </c>
      <c r="AG57" s="158">
        <v>230.63985</v>
      </c>
      <c r="AH57" s="158">
        <v>272.2414</v>
      </c>
      <c r="AI57" s="158">
        <v>198.72915</v>
      </c>
      <c r="AJ57" s="158">
        <v>627.33314999999993</v>
      </c>
      <c r="AK57" s="158">
        <v>226.98824999999999</v>
      </c>
      <c r="AL57" s="158">
        <v>198.77504999999999</v>
      </c>
      <c r="AM57" s="158">
        <v>228.20970000000003</v>
      </c>
      <c r="AN57" s="159">
        <v>241.72725</v>
      </c>
      <c r="AQ57" s="143"/>
      <c r="AR57" s="143"/>
      <c r="AS57" s="143"/>
    </row>
    <row r="58" spans="2:45" ht="15" thickBot="1" x14ac:dyDescent="0.35">
      <c r="B58" s="178" t="s">
        <v>127</v>
      </c>
      <c r="C58" s="179"/>
      <c r="D58" s="180"/>
      <c r="E58" s="157">
        <v>0</v>
      </c>
      <c r="F58" s="158">
        <v>0</v>
      </c>
      <c r="G58" s="158">
        <v>0</v>
      </c>
      <c r="H58" s="158">
        <v>0</v>
      </c>
      <c r="I58" s="158">
        <v>0</v>
      </c>
      <c r="J58" s="158">
        <v>0</v>
      </c>
      <c r="K58" s="158">
        <v>0</v>
      </c>
      <c r="L58" s="158">
        <v>0</v>
      </c>
      <c r="M58" s="158">
        <v>0</v>
      </c>
      <c r="N58" s="158">
        <v>0</v>
      </c>
      <c r="O58" s="158">
        <v>0</v>
      </c>
      <c r="P58" s="159">
        <v>0</v>
      </c>
      <c r="Q58" s="157">
        <v>0</v>
      </c>
      <c r="R58" s="158">
        <v>0</v>
      </c>
      <c r="S58" s="158">
        <v>0</v>
      </c>
      <c r="T58" s="158">
        <v>0</v>
      </c>
      <c r="U58" s="158">
        <v>0</v>
      </c>
      <c r="V58" s="158">
        <v>0</v>
      </c>
      <c r="W58" s="158">
        <v>0</v>
      </c>
      <c r="X58" s="158">
        <v>0</v>
      </c>
      <c r="Y58" s="158">
        <v>0</v>
      </c>
      <c r="Z58" s="158">
        <v>0</v>
      </c>
      <c r="AA58" s="158">
        <v>0</v>
      </c>
      <c r="AB58" s="159">
        <v>0</v>
      </c>
      <c r="AC58" s="157">
        <v>0</v>
      </c>
      <c r="AD58" s="158">
        <v>0</v>
      </c>
      <c r="AE58" s="158">
        <v>0</v>
      </c>
      <c r="AF58" s="158">
        <v>0</v>
      </c>
      <c r="AG58" s="158">
        <v>0</v>
      </c>
      <c r="AH58" s="158">
        <v>0</v>
      </c>
      <c r="AI58" s="158">
        <v>0</v>
      </c>
      <c r="AJ58" s="158">
        <v>0</v>
      </c>
      <c r="AK58" s="158">
        <v>0</v>
      </c>
      <c r="AL58" s="158">
        <v>0</v>
      </c>
      <c r="AM58" s="158">
        <v>0</v>
      </c>
      <c r="AN58" s="159">
        <v>0</v>
      </c>
      <c r="AQ58" s="143"/>
      <c r="AR58" s="143"/>
      <c r="AS58" s="143"/>
    </row>
    <row r="59" spans="2:45" ht="15" thickBot="1" x14ac:dyDescent="0.35">
      <c r="B59" s="178" t="s">
        <v>124</v>
      </c>
      <c r="C59" s="179"/>
      <c r="D59" s="180"/>
      <c r="E59" s="157">
        <v>0</v>
      </c>
      <c r="F59" s="158">
        <v>0</v>
      </c>
      <c r="G59" s="158">
        <v>0</v>
      </c>
      <c r="H59" s="158">
        <v>0</v>
      </c>
      <c r="I59" s="158">
        <v>0</v>
      </c>
      <c r="J59" s="158">
        <v>0</v>
      </c>
      <c r="K59" s="158">
        <v>0</v>
      </c>
      <c r="L59" s="158">
        <v>0</v>
      </c>
      <c r="M59" s="158">
        <v>0</v>
      </c>
      <c r="N59" s="158">
        <v>0</v>
      </c>
      <c r="O59" s="158">
        <v>0</v>
      </c>
      <c r="P59" s="159">
        <v>0</v>
      </c>
      <c r="Q59" s="157">
        <v>0</v>
      </c>
      <c r="R59" s="158">
        <v>0</v>
      </c>
      <c r="S59" s="158">
        <v>0</v>
      </c>
      <c r="T59" s="158">
        <v>0</v>
      </c>
      <c r="U59" s="158">
        <v>0</v>
      </c>
      <c r="V59" s="158">
        <v>0</v>
      </c>
      <c r="W59" s="158">
        <v>0</v>
      </c>
      <c r="X59" s="158">
        <v>0</v>
      </c>
      <c r="Y59" s="158">
        <v>0</v>
      </c>
      <c r="Z59" s="158">
        <v>0</v>
      </c>
      <c r="AA59" s="158">
        <v>0</v>
      </c>
      <c r="AB59" s="159">
        <v>0</v>
      </c>
      <c r="AC59" s="157">
        <v>0</v>
      </c>
      <c r="AD59" s="158">
        <v>0</v>
      </c>
      <c r="AE59" s="158">
        <v>0</v>
      </c>
      <c r="AF59" s="158">
        <v>0</v>
      </c>
      <c r="AG59" s="158">
        <v>0</v>
      </c>
      <c r="AH59" s="158">
        <v>0</v>
      </c>
      <c r="AI59" s="158">
        <v>0</v>
      </c>
      <c r="AJ59" s="158">
        <v>0</v>
      </c>
      <c r="AK59" s="158">
        <v>0</v>
      </c>
      <c r="AL59" s="158">
        <v>0</v>
      </c>
      <c r="AM59" s="158">
        <v>0</v>
      </c>
      <c r="AN59" s="159">
        <v>0</v>
      </c>
      <c r="AQ59" s="143"/>
      <c r="AR59" s="143"/>
      <c r="AS59" s="143"/>
    </row>
    <row r="60" spans="2:45" ht="15" thickBot="1" x14ac:dyDescent="0.35">
      <c r="B60" s="178" t="s">
        <v>175</v>
      </c>
      <c r="C60" s="179"/>
      <c r="D60" s="180"/>
      <c r="E60" s="157">
        <v>16872</v>
      </c>
      <c r="F60" s="158">
        <v>11085</v>
      </c>
      <c r="G60" s="158">
        <v>6371</v>
      </c>
      <c r="H60" s="158">
        <v>1945</v>
      </c>
      <c r="I60" s="158">
        <v>3000</v>
      </c>
      <c r="J60" s="158">
        <v>2000</v>
      </c>
      <c r="K60" s="158">
        <v>1244</v>
      </c>
      <c r="L60" s="158">
        <v>2470</v>
      </c>
      <c r="M60" s="158">
        <v>6166.8909999999996</v>
      </c>
      <c r="N60" s="158">
        <v>5000</v>
      </c>
      <c r="O60" s="158">
        <v>450</v>
      </c>
      <c r="P60" s="159">
        <v>1595</v>
      </c>
      <c r="Q60" s="157">
        <v>8447</v>
      </c>
      <c r="R60" s="158">
        <v>12355</v>
      </c>
      <c r="S60" s="158">
        <v>11245</v>
      </c>
      <c r="T60" s="158">
        <v>0</v>
      </c>
      <c r="U60" s="158">
        <v>0</v>
      </c>
      <c r="V60" s="158">
        <v>2000</v>
      </c>
      <c r="W60" s="158">
        <v>2475</v>
      </c>
      <c r="X60" s="158">
        <v>965</v>
      </c>
      <c r="Y60" s="158">
        <v>0</v>
      </c>
      <c r="Z60" s="158">
        <v>0</v>
      </c>
      <c r="AA60" s="158">
        <v>6000</v>
      </c>
      <c r="AB60" s="159">
        <v>450</v>
      </c>
      <c r="AC60" s="157">
        <v>8447</v>
      </c>
      <c r="AD60" s="158">
        <v>12355</v>
      </c>
      <c r="AE60" s="158">
        <v>11245</v>
      </c>
      <c r="AF60" s="158">
        <v>0</v>
      </c>
      <c r="AG60" s="158">
        <v>0</v>
      </c>
      <c r="AH60" s="158">
        <v>2000</v>
      </c>
      <c r="AI60" s="158">
        <v>2475</v>
      </c>
      <c r="AJ60" s="158">
        <v>965</v>
      </c>
      <c r="AK60" s="158">
        <v>0</v>
      </c>
      <c r="AL60" s="158">
        <v>0</v>
      </c>
      <c r="AM60" s="158">
        <v>6000</v>
      </c>
      <c r="AN60" s="159">
        <v>450</v>
      </c>
      <c r="AQ60" s="143"/>
      <c r="AR60" s="143"/>
      <c r="AS60" s="143"/>
    </row>
    <row r="61" spans="2:45" ht="15" thickBot="1" x14ac:dyDescent="0.35">
      <c r="B61" s="178" t="s">
        <v>128</v>
      </c>
      <c r="C61" s="179"/>
      <c r="D61" s="180"/>
      <c r="E61" s="157">
        <v>1056.355</v>
      </c>
      <c r="F61" s="158">
        <v>1203.0909999999999</v>
      </c>
      <c r="G61" s="158">
        <v>944.25699999999995</v>
      </c>
      <c r="H61" s="158">
        <v>870</v>
      </c>
      <c r="I61" s="158">
        <v>602.6</v>
      </c>
      <c r="J61" s="158">
        <v>611.1</v>
      </c>
      <c r="K61" s="158">
        <v>647.70000000000005</v>
      </c>
      <c r="L61" s="158">
        <v>664.7</v>
      </c>
      <c r="M61" s="158">
        <v>734.8</v>
      </c>
      <c r="N61" s="158">
        <v>678.7</v>
      </c>
      <c r="O61" s="158">
        <v>664.6</v>
      </c>
      <c r="P61" s="159">
        <v>651.1</v>
      </c>
      <c r="Q61" s="157">
        <v>1009.1318033927582</v>
      </c>
      <c r="R61" s="158">
        <v>1022.7695540472661</v>
      </c>
      <c r="S61" s="158">
        <v>889.99795788568338</v>
      </c>
      <c r="T61" s="158">
        <v>779.48421403646728</v>
      </c>
      <c r="U61" s="158">
        <v>970.54065892414042</v>
      </c>
      <c r="V61" s="158">
        <v>943.64649498718768</v>
      </c>
      <c r="W61" s="158">
        <v>1031.1234110891376</v>
      </c>
      <c r="X61" s="158">
        <v>945.45488374252659</v>
      </c>
      <c r="Y61" s="158">
        <v>1231.8476474871889</v>
      </c>
      <c r="Z61" s="158">
        <v>1079.2504596609565</v>
      </c>
      <c r="AA61" s="158">
        <v>1048.7419880149582</v>
      </c>
      <c r="AB61" s="159">
        <v>1048.0109267317293</v>
      </c>
      <c r="AC61" s="157">
        <v>1009.1318033927582</v>
      </c>
      <c r="AD61" s="158">
        <v>1022.7695540472661</v>
      </c>
      <c r="AE61" s="158">
        <v>889.99795788568338</v>
      </c>
      <c r="AF61" s="158">
        <v>779.48421403646728</v>
      </c>
      <c r="AG61" s="158">
        <v>970.54065892414042</v>
      </c>
      <c r="AH61" s="158">
        <v>943.64649498718768</v>
      </c>
      <c r="AI61" s="158">
        <v>1031.1234110891376</v>
      </c>
      <c r="AJ61" s="158">
        <v>945.45488374252659</v>
      </c>
      <c r="AK61" s="158">
        <v>1231.8476474871889</v>
      </c>
      <c r="AL61" s="158">
        <v>1079.2504596609565</v>
      </c>
      <c r="AM61" s="158">
        <v>1048.7419880149582</v>
      </c>
      <c r="AN61" s="159">
        <v>1048.0109267317293</v>
      </c>
      <c r="AQ61" s="143"/>
      <c r="AR61" s="143"/>
      <c r="AS61" s="143"/>
    </row>
    <row r="62" spans="2:45" ht="15" thickBot="1" x14ac:dyDescent="0.35">
      <c r="B62" s="178" t="s">
        <v>129</v>
      </c>
      <c r="C62" s="179"/>
      <c r="D62" s="180"/>
      <c r="E62" s="157">
        <v>260.399</v>
      </c>
      <c r="F62" s="158">
        <v>114.91200000000001</v>
      </c>
      <c r="G62" s="158">
        <v>67.965000000000003</v>
      </c>
      <c r="H62" s="158">
        <v>127.2</v>
      </c>
      <c r="I62" s="158">
        <v>315.2</v>
      </c>
      <c r="J62" s="158">
        <v>515</v>
      </c>
      <c r="K62" s="158">
        <v>647.4</v>
      </c>
      <c r="L62" s="158">
        <v>346.05</v>
      </c>
      <c r="M62" s="158">
        <v>179.02500000000001</v>
      </c>
      <c r="N62" s="158">
        <v>81.974999999999994</v>
      </c>
      <c r="O62" s="158">
        <v>13.725</v>
      </c>
      <c r="P62" s="159">
        <v>60.6</v>
      </c>
      <c r="Q62" s="157">
        <v>240.12192970850018</v>
      </c>
      <c r="R62" s="158">
        <v>122.0786183055537</v>
      </c>
      <c r="S62" s="158">
        <v>111.50016490600885</v>
      </c>
      <c r="T62" s="158">
        <v>140.67270108596892</v>
      </c>
      <c r="U62" s="158">
        <v>371.96413224482046</v>
      </c>
      <c r="V62" s="158">
        <v>833.65899610936765</v>
      </c>
      <c r="W62" s="158">
        <v>1509.152546371962</v>
      </c>
      <c r="X62" s="158">
        <v>1087.5242826826543</v>
      </c>
      <c r="Y62" s="158">
        <v>334.26351184910385</v>
      </c>
      <c r="Z62" s="158">
        <v>140.60726962099955</v>
      </c>
      <c r="AA62" s="158">
        <v>28.171269812655584</v>
      </c>
      <c r="AB62" s="159">
        <v>88.228007302404919</v>
      </c>
      <c r="AC62" s="157">
        <v>247.32558759975518</v>
      </c>
      <c r="AD62" s="158">
        <v>125.74097685472032</v>
      </c>
      <c r="AE62" s="158">
        <v>114.84516985318912</v>
      </c>
      <c r="AF62" s="158">
        <v>144.89288211854799</v>
      </c>
      <c r="AG62" s="158">
        <v>383.12305621216507</v>
      </c>
      <c r="AH62" s="158">
        <v>858.66876599264867</v>
      </c>
      <c r="AI62" s="158">
        <v>1554.4271227631209</v>
      </c>
      <c r="AJ62" s="158">
        <v>1120.150011163134</v>
      </c>
      <c r="AK62" s="158">
        <v>344.29141720457699</v>
      </c>
      <c r="AL62" s="158">
        <v>144.82548770962953</v>
      </c>
      <c r="AM62" s="158">
        <v>29.016407907035251</v>
      </c>
      <c r="AN62" s="159">
        <v>90.874847521477065</v>
      </c>
      <c r="AQ62" s="143"/>
      <c r="AR62" s="143"/>
      <c r="AS62" s="143"/>
    </row>
    <row r="63" spans="2:45" ht="15" thickBot="1" x14ac:dyDescent="0.35">
      <c r="B63" s="178" t="s">
        <v>130</v>
      </c>
      <c r="C63" s="179"/>
      <c r="D63" s="180"/>
      <c r="E63" s="157">
        <v>41.143000000000001</v>
      </c>
      <c r="F63" s="158">
        <v>163.57</v>
      </c>
      <c r="G63" s="158">
        <v>17.103999999999999</v>
      </c>
      <c r="H63" s="158">
        <v>73.7</v>
      </c>
      <c r="I63" s="158">
        <v>27.7</v>
      </c>
      <c r="J63" s="158">
        <v>26.3</v>
      </c>
      <c r="K63" s="158">
        <v>33.6</v>
      </c>
      <c r="L63" s="158">
        <v>86.3</v>
      </c>
      <c r="M63" s="158">
        <v>141.69999999999999</v>
      </c>
      <c r="N63" s="158">
        <v>68.400000000000006</v>
      </c>
      <c r="O63" s="158">
        <v>28.9</v>
      </c>
      <c r="P63" s="159">
        <v>38.299999999999997</v>
      </c>
      <c r="Q63" s="157">
        <v>39.462088854483717</v>
      </c>
      <c r="R63" s="158">
        <v>25.539414293645216</v>
      </c>
      <c r="S63" s="158">
        <v>89.882972663800786</v>
      </c>
      <c r="T63" s="158">
        <v>74.393117435301534</v>
      </c>
      <c r="U63" s="158">
        <v>32.124075581920451</v>
      </c>
      <c r="V63" s="158">
        <v>27.534102661732391</v>
      </c>
      <c r="W63" s="158">
        <v>32.731970677892662</v>
      </c>
      <c r="X63" s="158">
        <v>68.865755679300435</v>
      </c>
      <c r="Y63" s="158">
        <v>84.455710271801962</v>
      </c>
      <c r="Z63" s="158">
        <v>100.45805338995875</v>
      </c>
      <c r="AA63" s="158">
        <v>52.661649780576539</v>
      </c>
      <c r="AB63" s="159">
        <v>34.795998709585582</v>
      </c>
      <c r="AC63" s="157">
        <v>40.645951520118231</v>
      </c>
      <c r="AD63" s="158">
        <v>26.305596722454574</v>
      </c>
      <c r="AE63" s="158">
        <v>92.57946184371481</v>
      </c>
      <c r="AF63" s="158">
        <v>76.624910958360587</v>
      </c>
      <c r="AG63" s="158">
        <v>33.087797849378063</v>
      </c>
      <c r="AH63" s="158">
        <v>28.360125741584362</v>
      </c>
      <c r="AI63" s="158">
        <v>33.713929798229444</v>
      </c>
      <c r="AJ63" s="158">
        <v>70.931728349679446</v>
      </c>
      <c r="AK63" s="158">
        <v>86.989381579956017</v>
      </c>
      <c r="AL63" s="158">
        <v>103.47179499165752</v>
      </c>
      <c r="AM63" s="158">
        <v>54.241499273993838</v>
      </c>
      <c r="AN63" s="159">
        <v>35.839878670873148</v>
      </c>
      <c r="AQ63" s="143"/>
      <c r="AR63" s="143"/>
      <c r="AS63" s="143"/>
    </row>
    <row r="64" spans="2:45" ht="15" thickBot="1" x14ac:dyDescent="0.35">
      <c r="B64" s="178" t="s">
        <v>136</v>
      </c>
      <c r="C64" s="179"/>
      <c r="D64" s="180"/>
      <c r="E64" s="157">
        <v>11548.502</v>
      </c>
      <c r="F64" s="158">
        <v>0</v>
      </c>
      <c r="G64" s="158">
        <v>0</v>
      </c>
      <c r="H64" s="158">
        <v>0</v>
      </c>
      <c r="I64" s="158">
        <v>0</v>
      </c>
      <c r="J64" s="158">
        <v>0</v>
      </c>
      <c r="K64" s="158">
        <v>0</v>
      </c>
      <c r="L64" s="158">
        <v>0</v>
      </c>
      <c r="M64" s="158">
        <v>0</v>
      </c>
      <c r="N64" s="158">
        <v>0</v>
      </c>
      <c r="O64" s="158">
        <v>0</v>
      </c>
      <c r="P64" s="159">
        <v>0</v>
      </c>
      <c r="Q64" s="157">
        <v>0</v>
      </c>
      <c r="R64" s="158">
        <v>0</v>
      </c>
      <c r="S64" s="158">
        <v>0</v>
      </c>
      <c r="T64" s="158">
        <v>0</v>
      </c>
      <c r="U64" s="158">
        <v>0</v>
      </c>
      <c r="V64" s="158">
        <v>0</v>
      </c>
      <c r="W64" s="158">
        <v>0</v>
      </c>
      <c r="X64" s="158">
        <v>0</v>
      </c>
      <c r="Y64" s="158">
        <v>0</v>
      </c>
      <c r="Z64" s="158">
        <v>0</v>
      </c>
      <c r="AA64" s="158">
        <v>0</v>
      </c>
      <c r="AB64" s="159">
        <v>11548.502</v>
      </c>
      <c r="AC64" s="157">
        <v>0</v>
      </c>
      <c r="AD64" s="158">
        <v>0</v>
      </c>
      <c r="AE64" s="158">
        <v>0</v>
      </c>
      <c r="AF64" s="158">
        <v>0</v>
      </c>
      <c r="AG64" s="158">
        <v>0</v>
      </c>
      <c r="AH64" s="158">
        <v>0</v>
      </c>
      <c r="AI64" s="158">
        <v>0</v>
      </c>
      <c r="AJ64" s="158">
        <v>0</v>
      </c>
      <c r="AK64" s="158">
        <v>0</v>
      </c>
      <c r="AL64" s="158">
        <v>0</v>
      </c>
      <c r="AM64" s="158">
        <v>0</v>
      </c>
      <c r="AN64" s="159">
        <v>11548.502</v>
      </c>
      <c r="AQ64" s="143"/>
      <c r="AR64" s="143"/>
      <c r="AS64" s="143"/>
    </row>
    <row r="65" spans="2:45" ht="15" thickBot="1" x14ac:dyDescent="0.35">
      <c r="B65" s="178" t="s">
        <v>137</v>
      </c>
      <c r="C65" s="179"/>
      <c r="D65" s="180"/>
      <c r="E65" s="157">
        <v>0</v>
      </c>
      <c r="F65" s="158">
        <v>0</v>
      </c>
      <c r="G65" s="158">
        <v>0</v>
      </c>
      <c r="H65" s="158">
        <v>0</v>
      </c>
      <c r="I65" s="158">
        <v>0</v>
      </c>
      <c r="J65" s="158">
        <v>0</v>
      </c>
      <c r="K65" s="158">
        <v>0</v>
      </c>
      <c r="L65" s="158">
        <v>0</v>
      </c>
      <c r="M65" s="158">
        <v>0</v>
      </c>
      <c r="N65" s="158">
        <v>0</v>
      </c>
      <c r="O65" s="158">
        <v>0</v>
      </c>
      <c r="P65" s="159">
        <v>0</v>
      </c>
      <c r="Q65" s="157">
        <v>0</v>
      </c>
      <c r="R65" s="158">
        <v>0</v>
      </c>
      <c r="S65" s="158">
        <v>0</v>
      </c>
      <c r="T65" s="158">
        <v>0</v>
      </c>
      <c r="U65" s="158">
        <v>0</v>
      </c>
      <c r="V65" s="158">
        <v>0</v>
      </c>
      <c r="W65" s="158">
        <v>0</v>
      </c>
      <c r="X65" s="158">
        <v>0</v>
      </c>
      <c r="Y65" s="158">
        <v>0</v>
      </c>
      <c r="Z65" s="158">
        <v>0</v>
      </c>
      <c r="AA65" s="158">
        <v>0</v>
      </c>
      <c r="AB65" s="159">
        <v>0</v>
      </c>
      <c r="AC65" s="157">
        <v>0</v>
      </c>
      <c r="AD65" s="158">
        <v>0</v>
      </c>
      <c r="AE65" s="158">
        <v>0</v>
      </c>
      <c r="AF65" s="158">
        <v>0</v>
      </c>
      <c r="AG65" s="158">
        <v>0</v>
      </c>
      <c r="AH65" s="158">
        <v>0</v>
      </c>
      <c r="AI65" s="158">
        <v>0</v>
      </c>
      <c r="AJ65" s="158">
        <v>0</v>
      </c>
      <c r="AK65" s="158">
        <v>0</v>
      </c>
      <c r="AL65" s="158">
        <v>0</v>
      </c>
      <c r="AM65" s="158">
        <v>0</v>
      </c>
      <c r="AN65" s="159">
        <v>0</v>
      </c>
      <c r="AQ65" s="143"/>
      <c r="AR65" s="143"/>
      <c r="AS65" s="143"/>
    </row>
    <row r="66" spans="2:45" ht="15" thickBot="1" x14ac:dyDescent="0.35">
      <c r="B66" s="160"/>
      <c r="C66" s="161"/>
      <c r="D66" s="162" t="s">
        <v>4</v>
      </c>
      <c r="E66" s="25">
        <f t="shared" ref="E66:AN66" si="6">SUM(E49:E65)</f>
        <v>46172.302999999993</v>
      </c>
      <c r="F66" s="25">
        <f t="shared" si="6"/>
        <v>43958.087999999996</v>
      </c>
      <c r="G66" s="25">
        <f t="shared" si="6"/>
        <v>28151.247000000003</v>
      </c>
      <c r="H66" s="25">
        <f t="shared" si="6"/>
        <v>136993.61700000003</v>
      </c>
      <c r="I66" s="25">
        <f t="shared" si="6"/>
        <v>183176.21800000002</v>
      </c>
      <c r="J66" s="25">
        <f t="shared" si="6"/>
        <v>88699.588000000018</v>
      </c>
      <c r="K66" s="25">
        <f t="shared" si="6"/>
        <v>35041.089</v>
      </c>
      <c r="L66" s="25">
        <f t="shared" si="6"/>
        <v>33514.455000000002</v>
      </c>
      <c r="M66" s="25">
        <f t="shared" si="6"/>
        <v>71247.05799999999</v>
      </c>
      <c r="N66" s="25">
        <f t="shared" si="6"/>
        <v>218305.36200000002</v>
      </c>
      <c r="O66" s="25">
        <f t="shared" si="6"/>
        <v>76258.753000000012</v>
      </c>
      <c r="P66" s="163">
        <f t="shared" si="6"/>
        <v>29948.078999999998</v>
      </c>
      <c r="Q66" s="25">
        <f t="shared" si="6"/>
        <v>29985.359398265711</v>
      </c>
      <c r="R66" s="25">
        <f t="shared" si="6"/>
        <v>42945.382275923308</v>
      </c>
      <c r="S66" s="25">
        <f t="shared" si="6"/>
        <v>40183.520940201604</v>
      </c>
      <c r="T66" s="25">
        <f t="shared" si="6"/>
        <v>137277.75957263735</v>
      </c>
      <c r="U66" s="25">
        <f t="shared" si="6"/>
        <v>177595.61009977982</v>
      </c>
      <c r="V66" s="25">
        <f t="shared" si="6"/>
        <v>80689.545049128705</v>
      </c>
      <c r="W66" s="25">
        <f t="shared" si="6"/>
        <v>41445.164766825575</v>
      </c>
      <c r="X66" s="25">
        <f t="shared" si="6"/>
        <v>32343.842128982302</v>
      </c>
      <c r="Y66" s="25">
        <f t="shared" si="6"/>
        <v>63207.265981690092</v>
      </c>
      <c r="Z66" s="25">
        <f t="shared" si="6"/>
        <v>210786.61995742455</v>
      </c>
      <c r="AA66" s="25">
        <f t="shared" si="6"/>
        <v>86115.779723207583</v>
      </c>
      <c r="AB66" s="163">
        <f t="shared" si="6"/>
        <v>40088.219245933346</v>
      </c>
      <c r="AC66" s="25">
        <f t="shared" si="6"/>
        <v>30221.362966266821</v>
      </c>
      <c r="AD66" s="25">
        <f t="shared" si="6"/>
        <v>43138.14336538627</v>
      </c>
      <c r="AE66" s="25">
        <f t="shared" si="6"/>
        <v>40593.331782589827</v>
      </c>
      <c r="AF66" s="25">
        <f t="shared" si="6"/>
        <v>141029.86084500875</v>
      </c>
      <c r="AG66" s="25">
        <f t="shared" si="6"/>
        <v>182372.73246788539</v>
      </c>
      <c r="AH66" s="25">
        <f t="shared" si="6"/>
        <v>81047.294399541133</v>
      </c>
      <c r="AI66" s="25">
        <f t="shared" si="6"/>
        <v>41890.22137339136</v>
      </c>
      <c r="AJ66" s="25">
        <f t="shared" si="6"/>
        <v>32663.681351204679</v>
      </c>
      <c r="AK66" s="25">
        <f t="shared" si="6"/>
        <v>64723.842640960502</v>
      </c>
      <c r="AL66" s="25">
        <f t="shared" si="6"/>
        <v>216721.46519231889</v>
      </c>
      <c r="AM66" s="25">
        <f t="shared" si="6"/>
        <v>86472.839940880847</v>
      </c>
      <c r="AN66" s="163">
        <f t="shared" si="6"/>
        <v>40406.275332765566</v>
      </c>
      <c r="AQ66" s="31"/>
      <c r="AR66" s="31"/>
      <c r="AS66" s="31"/>
    </row>
    <row r="67" spans="2:45" ht="15" thickBot="1" x14ac:dyDescent="0.35">
      <c r="B67" s="175" t="s">
        <v>106</v>
      </c>
      <c r="C67" s="176"/>
      <c r="D67" s="177"/>
      <c r="E67" s="154">
        <v>9058.5969999999998</v>
      </c>
      <c r="F67" s="155">
        <v>8998.1980000000003</v>
      </c>
      <c r="G67" s="155">
        <v>8915.491</v>
      </c>
      <c r="H67" s="155">
        <v>8915</v>
      </c>
      <c r="I67" s="155">
        <v>13372.5</v>
      </c>
      <c r="J67" s="155">
        <v>8915</v>
      </c>
      <c r="K67" s="155">
        <v>8915</v>
      </c>
      <c r="L67" s="155">
        <v>8915</v>
      </c>
      <c r="M67" s="155">
        <v>8915</v>
      </c>
      <c r="N67" s="155">
        <v>13372.5</v>
      </c>
      <c r="O67" s="155">
        <v>8915</v>
      </c>
      <c r="P67" s="156">
        <v>8915</v>
      </c>
      <c r="Q67" s="154">
        <v>9328.2000000000007</v>
      </c>
      <c r="R67" s="155">
        <v>9328.2000000000007</v>
      </c>
      <c r="S67" s="155">
        <v>9328.2000000000007</v>
      </c>
      <c r="T67" s="155">
        <v>9328.2000000000007</v>
      </c>
      <c r="U67" s="155">
        <v>13992.3</v>
      </c>
      <c r="V67" s="155">
        <v>9328.2000000000007</v>
      </c>
      <c r="W67" s="155">
        <v>9328.2000000000007</v>
      </c>
      <c r="X67" s="155">
        <v>9328.2000000000007</v>
      </c>
      <c r="Y67" s="155">
        <v>9328.2000000000007</v>
      </c>
      <c r="Z67" s="155">
        <v>13992.3</v>
      </c>
      <c r="AA67" s="155">
        <v>9328.2000000000007</v>
      </c>
      <c r="AB67" s="156">
        <v>9328.2000000000007</v>
      </c>
      <c r="AC67" s="154">
        <v>9794.61</v>
      </c>
      <c r="AD67" s="155">
        <v>9794.61</v>
      </c>
      <c r="AE67" s="155">
        <v>9794.61</v>
      </c>
      <c r="AF67" s="155">
        <v>9794.61</v>
      </c>
      <c r="AG67" s="155">
        <v>14691.914999999999</v>
      </c>
      <c r="AH67" s="155">
        <v>9794.61</v>
      </c>
      <c r="AI67" s="155">
        <v>9794.61</v>
      </c>
      <c r="AJ67" s="155">
        <v>9794.61</v>
      </c>
      <c r="AK67" s="155">
        <v>9794.61</v>
      </c>
      <c r="AL67" s="155">
        <v>14691.914999999999</v>
      </c>
      <c r="AM67" s="155">
        <v>9794.61</v>
      </c>
      <c r="AN67" s="156">
        <v>9794.61</v>
      </c>
      <c r="AQ67" s="31"/>
      <c r="AR67" s="31"/>
      <c r="AS67" s="31"/>
    </row>
    <row r="68" spans="2:45" ht="15" thickBot="1" x14ac:dyDescent="0.35">
      <c r="B68" s="175" t="s">
        <v>107</v>
      </c>
      <c r="C68" s="176"/>
      <c r="D68" s="177"/>
      <c r="E68" s="157">
        <v>1852.7650000000001</v>
      </c>
      <c r="F68" s="158">
        <v>1948.5119999999999</v>
      </c>
      <c r="G68" s="158">
        <v>1888.644</v>
      </c>
      <c r="H68" s="158">
        <v>1889</v>
      </c>
      <c r="I68" s="158">
        <v>2833.5</v>
      </c>
      <c r="J68" s="158">
        <v>1889</v>
      </c>
      <c r="K68" s="158">
        <v>1889</v>
      </c>
      <c r="L68" s="158">
        <v>1889</v>
      </c>
      <c r="M68" s="158">
        <v>1889</v>
      </c>
      <c r="N68" s="158">
        <v>2833.5</v>
      </c>
      <c r="O68" s="158">
        <v>1889</v>
      </c>
      <c r="P68" s="159">
        <v>1889</v>
      </c>
      <c r="Q68" s="157">
        <v>1915.2</v>
      </c>
      <c r="R68" s="158">
        <v>1915.2</v>
      </c>
      <c r="S68" s="158">
        <v>1915.2</v>
      </c>
      <c r="T68" s="158">
        <v>1915.2</v>
      </c>
      <c r="U68" s="158">
        <v>2872.8</v>
      </c>
      <c r="V68" s="158">
        <v>1915.2</v>
      </c>
      <c r="W68" s="158">
        <v>1915.2</v>
      </c>
      <c r="X68" s="158">
        <v>1915.2</v>
      </c>
      <c r="Y68" s="158">
        <v>1915.2</v>
      </c>
      <c r="Z68" s="158">
        <v>2872.8</v>
      </c>
      <c r="AA68" s="158">
        <v>1915.2</v>
      </c>
      <c r="AB68" s="159">
        <v>1915.2</v>
      </c>
      <c r="AC68" s="157">
        <v>2010.96</v>
      </c>
      <c r="AD68" s="158">
        <v>2010.96</v>
      </c>
      <c r="AE68" s="158">
        <v>2010.96</v>
      </c>
      <c r="AF68" s="158">
        <v>2010.96</v>
      </c>
      <c r="AG68" s="158">
        <v>3016.4400000000005</v>
      </c>
      <c r="AH68" s="158">
        <v>2010.96</v>
      </c>
      <c r="AI68" s="158">
        <v>2010.96</v>
      </c>
      <c r="AJ68" s="158">
        <v>2010.96</v>
      </c>
      <c r="AK68" s="158">
        <v>2010.96</v>
      </c>
      <c r="AL68" s="158">
        <v>3016.4400000000005</v>
      </c>
      <c r="AM68" s="158">
        <v>2010.96</v>
      </c>
      <c r="AN68" s="159">
        <v>2010.96</v>
      </c>
      <c r="AQ68" s="31"/>
      <c r="AR68" s="31"/>
      <c r="AS68" s="31"/>
    </row>
    <row r="69" spans="2:45" ht="15" thickBot="1" x14ac:dyDescent="0.35">
      <c r="B69" s="175" t="s">
        <v>109</v>
      </c>
      <c r="C69" s="176"/>
      <c r="D69" s="177"/>
      <c r="E69" s="157">
        <v>19274.994999999999</v>
      </c>
      <c r="F69" s="158">
        <v>19291.907999999999</v>
      </c>
      <c r="G69" s="158">
        <v>16940.376</v>
      </c>
      <c r="H69" s="158">
        <v>19964.599999999999</v>
      </c>
      <c r="I69" s="158">
        <v>17907.400000000001</v>
      </c>
      <c r="J69" s="158">
        <v>17838</v>
      </c>
      <c r="K69" s="158">
        <v>27897.5</v>
      </c>
      <c r="L69" s="158">
        <v>24658.6</v>
      </c>
      <c r="M69" s="158">
        <v>26192.7</v>
      </c>
      <c r="N69" s="158">
        <v>23749.3</v>
      </c>
      <c r="O69" s="158">
        <v>17204.3</v>
      </c>
      <c r="P69" s="159">
        <v>14488.8</v>
      </c>
      <c r="Q69" s="157">
        <v>23731.636673070552</v>
      </c>
      <c r="R69" s="158">
        <v>16527.569300072933</v>
      </c>
      <c r="S69" s="158">
        <v>18402.467172665078</v>
      </c>
      <c r="T69" s="158">
        <v>20240.386221541707</v>
      </c>
      <c r="U69" s="158">
        <v>18550.136311541355</v>
      </c>
      <c r="V69" s="158">
        <v>18735.821606973816</v>
      </c>
      <c r="W69" s="158">
        <v>24567.173770916666</v>
      </c>
      <c r="X69" s="158">
        <v>25341.735911865628</v>
      </c>
      <c r="Y69" s="158">
        <v>22921.035230921276</v>
      </c>
      <c r="Z69" s="158">
        <v>22329.338187687095</v>
      </c>
      <c r="AA69" s="158">
        <v>18956.301838910349</v>
      </c>
      <c r="AB69" s="159">
        <v>14487.874613833552</v>
      </c>
      <c r="AC69" s="157">
        <v>24443.585773262668</v>
      </c>
      <c r="AD69" s="158">
        <v>17023.396379075122</v>
      </c>
      <c r="AE69" s="158">
        <v>18954.541187845032</v>
      </c>
      <c r="AF69" s="158">
        <v>20847.597808187958</v>
      </c>
      <c r="AG69" s="158">
        <v>19106.640400887598</v>
      </c>
      <c r="AH69" s="158">
        <v>19297.89625518303</v>
      </c>
      <c r="AI69" s="158">
        <v>25304.188984044165</v>
      </c>
      <c r="AJ69" s="158">
        <v>26101.987989221598</v>
      </c>
      <c r="AK69" s="158">
        <v>23608.666287848915</v>
      </c>
      <c r="AL69" s="158">
        <v>22999.218333317709</v>
      </c>
      <c r="AM69" s="158">
        <v>19524.990894077659</v>
      </c>
      <c r="AN69" s="159">
        <v>14922.510852248559</v>
      </c>
    </row>
    <row r="70" spans="2:45" ht="15" thickBot="1" x14ac:dyDescent="0.35">
      <c r="B70" s="175" t="s">
        <v>110</v>
      </c>
      <c r="C70" s="176"/>
      <c r="D70" s="177"/>
      <c r="E70" s="157">
        <v>0</v>
      </c>
      <c r="F70" s="158">
        <v>0</v>
      </c>
      <c r="G70" s="158">
        <v>0</v>
      </c>
      <c r="H70" s="158">
        <v>0</v>
      </c>
      <c r="I70" s="158">
        <v>0</v>
      </c>
      <c r="J70" s="158">
        <v>0</v>
      </c>
      <c r="K70" s="158">
        <v>0</v>
      </c>
      <c r="L70" s="158">
        <v>0</v>
      </c>
      <c r="M70" s="158">
        <v>0</v>
      </c>
      <c r="N70" s="158">
        <v>0</v>
      </c>
      <c r="O70" s="158">
        <v>0</v>
      </c>
      <c r="P70" s="159">
        <v>0</v>
      </c>
      <c r="Q70" s="157">
        <v>0</v>
      </c>
      <c r="R70" s="158">
        <v>0</v>
      </c>
      <c r="S70" s="158">
        <v>0</v>
      </c>
      <c r="T70" s="158">
        <v>0</v>
      </c>
      <c r="U70" s="158">
        <v>0</v>
      </c>
      <c r="V70" s="158">
        <v>0</v>
      </c>
      <c r="W70" s="158">
        <v>0</v>
      </c>
      <c r="X70" s="158">
        <v>0</v>
      </c>
      <c r="Y70" s="158">
        <v>0</v>
      </c>
      <c r="Z70" s="158">
        <v>0</v>
      </c>
      <c r="AA70" s="158">
        <v>0</v>
      </c>
      <c r="AB70" s="159">
        <v>0</v>
      </c>
      <c r="AC70" s="157">
        <v>0</v>
      </c>
      <c r="AD70" s="158">
        <v>0</v>
      </c>
      <c r="AE70" s="158">
        <v>0</v>
      </c>
      <c r="AF70" s="158">
        <v>0</v>
      </c>
      <c r="AG70" s="158">
        <v>0</v>
      </c>
      <c r="AH70" s="158">
        <v>0</v>
      </c>
      <c r="AI70" s="158">
        <v>0</v>
      </c>
      <c r="AJ70" s="158">
        <v>0</v>
      </c>
      <c r="AK70" s="158">
        <v>0</v>
      </c>
      <c r="AL70" s="158">
        <v>0</v>
      </c>
      <c r="AM70" s="158">
        <v>0</v>
      </c>
      <c r="AN70" s="159">
        <v>0</v>
      </c>
    </row>
    <row r="71" spans="2:45" ht="15" thickBot="1" x14ac:dyDescent="0.35">
      <c r="B71" s="175" t="s">
        <v>111</v>
      </c>
      <c r="C71" s="176"/>
      <c r="D71" s="177"/>
      <c r="E71" s="157">
        <v>0</v>
      </c>
      <c r="F71" s="158">
        <v>0</v>
      </c>
      <c r="G71" s="158">
        <v>0</v>
      </c>
      <c r="H71" s="158">
        <v>0</v>
      </c>
      <c r="I71" s="158">
        <v>0</v>
      </c>
      <c r="J71" s="158">
        <v>0</v>
      </c>
      <c r="K71" s="158">
        <v>0</v>
      </c>
      <c r="L71" s="158">
        <v>0</v>
      </c>
      <c r="M71" s="158">
        <v>0</v>
      </c>
      <c r="N71" s="158">
        <v>0</v>
      </c>
      <c r="O71" s="158">
        <v>0</v>
      </c>
      <c r="P71" s="159">
        <v>0</v>
      </c>
      <c r="Q71" s="157">
        <v>0</v>
      </c>
      <c r="R71" s="158">
        <v>0</v>
      </c>
      <c r="S71" s="158">
        <v>0</v>
      </c>
      <c r="T71" s="158">
        <v>0</v>
      </c>
      <c r="U71" s="158">
        <v>0</v>
      </c>
      <c r="V71" s="158">
        <v>0</v>
      </c>
      <c r="W71" s="158">
        <v>0</v>
      </c>
      <c r="X71" s="158">
        <v>0</v>
      </c>
      <c r="Y71" s="158">
        <v>0</v>
      </c>
      <c r="Z71" s="158">
        <v>0</v>
      </c>
      <c r="AA71" s="158">
        <v>0</v>
      </c>
      <c r="AB71" s="159">
        <v>0</v>
      </c>
      <c r="AC71" s="157">
        <v>0</v>
      </c>
      <c r="AD71" s="158">
        <v>0</v>
      </c>
      <c r="AE71" s="158">
        <v>0</v>
      </c>
      <c r="AF71" s="158">
        <v>0</v>
      </c>
      <c r="AG71" s="158">
        <v>0</v>
      </c>
      <c r="AH71" s="158">
        <v>0</v>
      </c>
      <c r="AI71" s="158">
        <v>0</v>
      </c>
      <c r="AJ71" s="158">
        <v>0</v>
      </c>
      <c r="AK71" s="158">
        <v>0</v>
      </c>
      <c r="AL71" s="158">
        <v>0</v>
      </c>
      <c r="AM71" s="158">
        <v>0</v>
      </c>
      <c r="AN71" s="159">
        <v>0</v>
      </c>
    </row>
    <row r="72" spans="2:45" ht="15" thickBot="1" x14ac:dyDescent="0.35">
      <c r="B72" s="175" t="s">
        <v>134</v>
      </c>
      <c r="C72" s="176"/>
      <c r="D72" s="177"/>
      <c r="E72" s="157">
        <v>0</v>
      </c>
      <c r="F72" s="158">
        <v>0</v>
      </c>
      <c r="G72" s="158">
        <v>0</v>
      </c>
      <c r="H72" s="158">
        <v>0</v>
      </c>
      <c r="I72" s="158">
        <v>0</v>
      </c>
      <c r="J72" s="158">
        <v>34605.800000000003</v>
      </c>
      <c r="K72" s="158">
        <v>0</v>
      </c>
      <c r="L72" s="158">
        <v>0</v>
      </c>
      <c r="M72" s="158">
        <v>0</v>
      </c>
      <c r="N72" s="158">
        <v>0</v>
      </c>
      <c r="O72" s="158">
        <v>34605.800000000003</v>
      </c>
      <c r="P72" s="159">
        <v>0</v>
      </c>
      <c r="Q72" s="157">
        <v>0</v>
      </c>
      <c r="R72" s="158">
        <v>0</v>
      </c>
      <c r="S72" s="158">
        <v>0</v>
      </c>
      <c r="T72" s="158">
        <v>0</v>
      </c>
      <c r="U72" s="158">
        <v>0</v>
      </c>
      <c r="V72" s="158">
        <v>34143.531135839818</v>
      </c>
      <c r="W72" s="158">
        <v>847.642364160184</v>
      </c>
      <c r="X72" s="158">
        <v>0</v>
      </c>
      <c r="Y72" s="158">
        <v>0</v>
      </c>
      <c r="Z72" s="158">
        <v>0</v>
      </c>
      <c r="AA72" s="158">
        <v>34991.173499999997</v>
      </c>
      <c r="AB72" s="159">
        <v>0</v>
      </c>
      <c r="AC72" s="157">
        <v>0</v>
      </c>
      <c r="AD72" s="158">
        <v>0</v>
      </c>
      <c r="AE72" s="158">
        <v>0</v>
      </c>
      <c r="AF72" s="158">
        <v>0</v>
      </c>
      <c r="AG72" s="158">
        <v>0</v>
      </c>
      <c r="AH72" s="158">
        <v>34143.531135839818</v>
      </c>
      <c r="AI72" s="158">
        <v>847.642364160184</v>
      </c>
      <c r="AJ72" s="158">
        <v>0</v>
      </c>
      <c r="AK72" s="158">
        <v>0</v>
      </c>
      <c r="AL72" s="158">
        <v>0</v>
      </c>
      <c r="AM72" s="158">
        <v>34991.173499999997</v>
      </c>
      <c r="AN72" s="159">
        <v>0</v>
      </c>
    </row>
    <row r="73" spans="2:45" ht="15" thickBot="1" x14ac:dyDescent="0.35">
      <c r="B73" s="175" t="s">
        <v>108</v>
      </c>
      <c r="C73" s="176"/>
      <c r="D73" s="177"/>
      <c r="E73" s="157">
        <v>0</v>
      </c>
      <c r="F73" s="158">
        <v>0</v>
      </c>
      <c r="G73" s="158">
        <v>0</v>
      </c>
      <c r="H73" s="158">
        <v>0</v>
      </c>
      <c r="I73" s="158">
        <v>0</v>
      </c>
      <c r="J73" s="158">
        <v>0</v>
      </c>
      <c r="K73" s="158">
        <v>0</v>
      </c>
      <c r="L73" s="158">
        <v>0</v>
      </c>
      <c r="M73" s="158">
        <v>0</v>
      </c>
      <c r="N73" s="158">
        <v>0</v>
      </c>
      <c r="O73" s="158">
        <v>0</v>
      </c>
      <c r="P73" s="159">
        <v>0</v>
      </c>
      <c r="Q73" s="157">
        <v>0</v>
      </c>
      <c r="R73" s="158">
        <v>0</v>
      </c>
      <c r="S73" s="158">
        <v>0</v>
      </c>
      <c r="T73" s="158">
        <v>0</v>
      </c>
      <c r="U73" s="158">
        <v>0</v>
      </c>
      <c r="V73" s="158">
        <v>0</v>
      </c>
      <c r="W73" s="158">
        <v>0</v>
      </c>
      <c r="X73" s="158">
        <v>0</v>
      </c>
      <c r="Y73" s="158">
        <v>0</v>
      </c>
      <c r="Z73" s="158">
        <v>0</v>
      </c>
      <c r="AA73" s="158">
        <v>0</v>
      </c>
      <c r="AB73" s="159">
        <v>0</v>
      </c>
      <c r="AC73" s="157">
        <v>0</v>
      </c>
      <c r="AD73" s="158">
        <v>0</v>
      </c>
      <c r="AE73" s="158">
        <v>0</v>
      </c>
      <c r="AF73" s="158">
        <v>0</v>
      </c>
      <c r="AG73" s="158">
        <v>0</v>
      </c>
      <c r="AH73" s="158">
        <v>0</v>
      </c>
      <c r="AI73" s="158">
        <v>0</v>
      </c>
      <c r="AJ73" s="158">
        <v>0</v>
      </c>
      <c r="AK73" s="158">
        <v>0</v>
      </c>
      <c r="AL73" s="158">
        <v>0</v>
      </c>
      <c r="AM73" s="158">
        <v>0</v>
      </c>
      <c r="AN73" s="159">
        <v>0</v>
      </c>
    </row>
    <row r="74" spans="2:45" ht="15" thickBot="1" x14ac:dyDescent="0.35">
      <c r="B74" s="175" t="s">
        <v>112</v>
      </c>
      <c r="C74" s="176"/>
      <c r="D74" s="177"/>
      <c r="E74" s="157">
        <v>0</v>
      </c>
      <c r="F74" s="158">
        <v>0</v>
      </c>
      <c r="G74" s="158">
        <v>0</v>
      </c>
      <c r="H74" s="158">
        <v>0</v>
      </c>
      <c r="I74" s="158">
        <v>0</v>
      </c>
      <c r="J74" s="158">
        <v>0</v>
      </c>
      <c r="K74" s="158">
        <v>0</v>
      </c>
      <c r="L74" s="158">
        <v>0</v>
      </c>
      <c r="M74" s="158">
        <v>0</v>
      </c>
      <c r="N74" s="158">
        <v>0</v>
      </c>
      <c r="O74" s="158">
        <v>0</v>
      </c>
      <c r="P74" s="159">
        <v>0</v>
      </c>
      <c r="Q74" s="157">
        <v>0</v>
      </c>
      <c r="R74" s="158">
        <v>0</v>
      </c>
      <c r="S74" s="158">
        <v>0</v>
      </c>
      <c r="T74" s="158">
        <v>0</v>
      </c>
      <c r="U74" s="158">
        <v>0</v>
      </c>
      <c r="V74" s="158">
        <v>0</v>
      </c>
      <c r="W74" s="158">
        <v>0</v>
      </c>
      <c r="X74" s="158">
        <v>0</v>
      </c>
      <c r="Y74" s="158">
        <v>0</v>
      </c>
      <c r="Z74" s="158">
        <v>0</v>
      </c>
      <c r="AA74" s="158">
        <v>0</v>
      </c>
      <c r="AB74" s="159">
        <v>0</v>
      </c>
      <c r="AC74" s="157">
        <v>0</v>
      </c>
      <c r="AD74" s="158">
        <v>0</v>
      </c>
      <c r="AE74" s="158">
        <v>0</v>
      </c>
      <c r="AF74" s="158">
        <v>0</v>
      </c>
      <c r="AG74" s="158">
        <v>0</v>
      </c>
      <c r="AH74" s="158">
        <v>0</v>
      </c>
      <c r="AI74" s="158">
        <v>0</v>
      </c>
      <c r="AJ74" s="158">
        <v>0</v>
      </c>
      <c r="AK74" s="158">
        <v>0</v>
      </c>
      <c r="AL74" s="158">
        <v>0</v>
      </c>
      <c r="AM74" s="158">
        <v>0</v>
      </c>
      <c r="AN74" s="159">
        <v>0</v>
      </c>
    </row>
    <row r="75" spans="2:45" ht="15" thickBot="1" x14ac:dyDescent="0.35">
      <c r="B75" s="175" t="s">
        <v>114</v>
      </c>
      <c r="C75" s="176"/>
      <c r="D75" s="177"/>
      <c r="E75" s="157">
        <v>0</v>
      </c>
      <c r="F75" s="158">
        <v>0</v>
      </c>
      <c r="G75" s="158">
        <v>0</v>
      </c>
      <c r="H75" s="158">
        <v>0</v>
      </c>
      <c r="I75" s="158">
        <v>0</v>
      </c>
      <c r="J75" s="158">
        <v>0</v>
      </c>
      <c r="K75" s="158">
        <v>0</v>
      </c>
      <c r="L75" s="158">
        <v>0</v>
      </c>
      <c r="M75" s="158">
        <v>0</v>
      </c>
      <c r="N75" s="158">
        <v>0</v>
      </c>
      <c r="O75" s="158">
        <v>0</v>
      </c>
      <c r="P75" s="159">
        <v>0</v>
      </c>
      <c r="Q75" s="157">
        <v>0</v>
      </c>
      <c r="R75" s="158">
        <v>0</v>
      </c>
      <c r="S75" s="158">
        <v>0</v>
      </c>
      <c r="T75" s="158">
        <v>0</v>
      </c>
      <c r="U75" s="158">
        <v>0</v>
      </c>
      <c r="V75" s="158">
        <v>0</v>
      </c>
      <c r="W75" s="158">
        <v>0</v>
      </c>
      <c r="X75" s="158">
        <v>0</v>
      </c>
      <c r="Y75" s="158">
        <v>0</v>
      </c>
      <c r="Z75" s="158">
        <v>0</v>
      </c>
      <c r="AA75" s="158">
        <v>0</v>
      </c>
      <c r="AB75" s="159">
        <v>0</v>
      </c>
      <c r="AC75" s="157">
        <v>0</v>
      </c>
      <c r="AD75" s="158">
        <v>0</v>
      </c>
      <c r="AE75" s="158">
        <v>0</v>
      </c>
      <c r="AF75" s="158">
        <v>0</v>
      </c>
      <c r="AG75" s="158">
        <v>0</v>
      </c>
      <c r="AH75" s="158">
        <v>0</v>
      </c>
      <c r="AI75" s="158">
        <v>0</v>
      </c>
      <c r="AJ75" s="158">
        <v>0</v>
      </c>
      <c r="AK75" s="158">
        <v>0</v>
      </c>
      <c r="AL75" s="158">
        <v>0</v>
      </c>
      <c r="AM75" s="158">
        <v>0</v>
      </c>
      <c r="AN75" s="159">
        <v>0</v>
      </c>
    </row>
    <row r="76" spans="2:45" ht="15" thickBot="1" x14ac:dyDescent="0.35">
      <c r="B76" s="175" t="s">
        <v>131</v>
      </c>
      <c r="C76" s="176"/>
      <c r="D76" s="177"/>
      <c r="E76" s="157">
        <v>601.66899999999998</v>
      </c>
      <c r="F76" s="158">
        <v>1011.668</v>
      </c>
      <c r="G76" s="158">
        <v>1077.626</v>
      </c>
      <c r="H76" s="158">
        <v>1252.2</v>
      </c>
      <c r="I76" s="158">
        <v>1138.3</v>
      </c>
      <c r="J76" s="158">
        <v>2234</v>
      </c>
      <c r="K76" s="158">
        <v>7.7</v>
      </c>
      <c r="L76" s="158">
        <v>2350.6</v>
      </c>
      <c r="M76" s="158">
        <v>1705.1</v>
      </c>
      <c r="N76" s="158">
        <v>1672.5</v>
      </c>
      <c r="O76" s="158">
        <v>2355.6999999999998</v>
      </c>
      <c r="P76" s="159">
        <v>36.799999999999997</v>
      </c>
      <c r="Q76" s="157">
        <v>1122.2661688904366</v>
      </c>
      <c r="R76" s="158">
        <v>1110.8759518963307</v>
      </c>
      <c r="S76" s="158">
        <v>934.09560537922414</v>
      </c>
      <c r="T76" s="158">
        <v>1097.5136224283322</v>
      </c>
      <c r="U76" s="158">
        <v>1112.3753923854385</v>
      </c>
      <c r="V76" s="158">
        <v>2397.6166083717458</v>
      </c>
      <c r="W76" s="158">
        <v>7.6446883952890481</v>
      </c>
      <c r="X76" s="158">
        <v>2118.9291037224493</v>
      </c>
      <c r="Y76" s="158">
        <v>1635.675002044258</v>
      </c>
      <c r="Z76" s="158">
        <v>1499.665302760709</v>
      </c>
      <c r="AA76" s="158">
        <v>2047.5218351566198</v>
      </c>
      <c r="AB76" s="159">
        <v>639.73771856916665</v>
      </c>
      <c r="AC76" s="157">
        <v>1122.2661688904366</v>
      </c>
      <c r="AD76" s="158">
        <v>1110.8759518963307</v>
      </c>
      <c r="AE76" s="158">
        <v>934.09560537922414</v>
      </c>
      <c r="AF76" s="158">
        <v>1097.5136224283322</v>
      </c>
      <c r="AG76" s="158">
        <v>1112.3753923854385</v>
      </c>
      <c r="AH76" s="158">
        <v>2397.6166083717458</v>
      </c>
      <c r="AI76" s="158">
        <v>7.6446883952890481</v>
      </c>
      <c r="AJ76" s="158">
        <v>2118.9291037224493</v>
      </c>
      <c r="AK76" s="158">
        <v>1635.675002044258</v>
      </c>
      <c r="AL76" s="158">
        <v>1499.665302760709</v>
      </c>
      <c r="AM76" s="158">
        <v>2047.5218351566198</v>
      </c>
      <c r="AN76" s="159">
        <v>639.73771856916665</v>
      </c>
    </row>
    <row r="77" spans="2:45" ht="15" thickBot="1" x14ac:dyDescent="0.35">
      <c r="B77" s="175" t="s">
        <v>132</v>
      </c>
      <c r="C77" s="176"/>
      <c r="D77" s="177"/>
      <c r="E77" s="157">
        <v>229.83799999999999</v>
      </c>
      <c r="F77" s="158">
        <v>31711.544000000002</v>
      </c>
      <c r="G77" s="158">
        <v>282.33300000000003</v>
      </c>
      <c r="H77" s="158">
        <v>0</v>
      </c>
      <c r="I77" s="158">
        <v>0</v>
      </c>
      <c r="J77" s="158">
        <v>0</v>
      </c>
      <c r="K77" s="158">
        <v>15</v>
      </c>
      <c r="L77" s="158">
        <v>1740</v>
      </c>
      <c r="M77" s="158">
        <v>0</v>
      </c>
      <c r="N77" s="158">
        <v>0</v>
      </c>
      <c r="O77" s="158">
        <v>0</v>
      </c>
      <c r="P77" s="159">
        <v>0</v>
      </c>
      <c r="Q77" s="157">
        <v>175.37986635623429</v>
      </c>
      <c r="R77" s="158">
        <v>13691.37411849851</v>
      </c>
      <c r="S77" s="158">
        <v>0</v>
      </c>
      <c r="T77" s="158">
        <v>0</v>
      </c>
      <c r="U77" s="158">
        <v>102.71829895195519</v>
      </c>
      <c r="V77" s="158">
        <v>0</v>
      </c>
      <c r="W77" s="158">
        <v>745.19166627070695</v>
      </c>
      <c r="X77" s="158">
        <v>708.02165067660781</v>
      </c>
      <c r="Y77" s="158">
        <v>0</v>
      </c>
      <c r="Z77" s="158">
        <v>0</v>
      </c>
      <c r="AA77" s="158">
        <v>12.677850108197653</v>
      </c>
      <c r="AB77" s="159">
        <v>626.61654913778773</v>
      </c>
      <c r="AC77" s="157">
        <v>175.37986635623429</v>
      </c>
      <c r="AD77" s="158">
        <v>13691.37411849851</v>
      </c>
      <c r="AE77" s="158">
        <v>0</v>
      </c>
      <c r="AF77" s="158">
        <v>0</v>
      </c>
      <c r="AG77" s="158">
        <v>102.71829895195519</v>
      </c>
      <c r="AH77" s="158">
        <v>0</v>
      </c>
      <c r="AI77" s="158">
        <v>745.19166627070695</v>
      </c>
      <c r="AJ77" s="158">
        <v>708.02165067660781</v>
      </c>
      <c r="AK77" s="158">
        <v>0</v>
      </c>
      <c r="AL77" s="158">
        <v>0</v>
      </c>
      <c r="AM77" s="158">
        <v>12.677850108197653</v>
      </c>
      <c r="AN77" s="159">
        <v>626.61654913778773</v>
      </c>
    </row>
    <row r="78" spans="2:45" ht="15" thickBot="1" x14ac:dyDescent="0.35">
      <c r="B78" s="175" t="s">
        <v>133</v>
      </c>
      <c r="C78" s="176"/>
      <c r="D78" s="177"/>
      <c r="E78" s="157">
        <v>3963.4929999999999</v>
      </c>
      <c r="F78" s="158">
        <v>0</v>
      </c>
      <c r="G78" s="158">
        <v>0</v>
      </c>
      <c r="H78" s="158">
        <v>0</v>
      </c>
      <c r="I78" s="158">
        <v>48719</v>
      </c>
      <c r="J78" s="158">
        <v>70436.600000000006</v>
      </c>
      <c r="K78" s="158">
        <v>105455.8</v>
      </c>
      <c r="L78" s="158">
        <v>0</v>
      </c>
      <c r="M78" s="158">
        <v>0</v>
      </c>
      <c r="N78" s="158">
        <v>43239.9</v>
      </c>
      <c r="O78" s="158">
        <v>45596.5</v>
      </c>
      <c r="P78" s="159">
        <v>105641.1</v>
      </c>
      <c r="Q78" s="157">
        <v>2751.5534222275173</v>
      </c>
      <c r="R78" s="158">
        <v>0</v>
      </c>
      <c r="S78" s="158">
        <v>324.19399220624638</v>
      </c>
      <c r="T78" s="158">
        <v>0</v>
      </c>
      <c r="U78" s="158">
        <v>48015.155799956083</v>
      </c>
      <c r="V78" s="158">
        <v>74814.730993102145</v>
      </c>
      <c r="W78" s="158">
        <v>102925.94422842866</v>
      </c>
      <c r="X78" s="158">
        <v>0</v>
      </c>
      <c r="Y78" s="158">
        <v>0</v>
      </c>
      <c r="Z78" s="158">
        <v>42530.922656092269</v>
      </c>
      <c r="AA78" s="158">
        <v>96102.965979668297</v>
      </c>
      <c r="AB78" s="159">
        <v>54280.889388318785</v>
      </c>
      <c r="AC78" s="157">
        <v>2834.1000248943428</v>
      </c>
      <c r="AD78" s="158">
        <v>0</v>
      </c>
      <c r="AE78" s="158">
        <v>333.91981197243376</v>
      </c>
      <c r="AF78" s="158">
        <v>0</v>
      </c>
      <c r="AG78" s="158">
        <v>49455.610473954766</v>
      </c>
      <c r="AH78" s="158">
        <v>77059.172922895217</v>
      </c>
      <c r="AI78" s="158">
        <v>106013.72255528152</v>
      </c>
      <c r="AJ78" s="158">
        <v>0</v>
      </c>
      <c r="AK78" s="158">
        <v>0</v>
      </c>
      <c r="AL78" s="158">
        <v>43806.850335775038</v>
      </c>
      <c r="AM78" s="158">
        <v>98986.054959058354</v>
      </c>
      <c r="AN78" s="159">
        <v>55909.31606996835</v>
      </c>
    </row>
    <row r="79" spans="2:45" ht="15" thickBot="1" x14ac:dyDescent="0.35">
      <c r="B79" s="175" t="s">
        <v>176</v>
      </c>
      <c r="C79" s="176"/>
      <c r="D79" s="177"/>
      <c r="E79" s="157">
        <v>2249.0859999999998</v>
      </c>
      <c r="F79" s="158">
        <v>6020.6239999999998</v>
      </c>
      <c r="G79" s="158">
        <v>20363.918000000001</v>
      </c>
      <c r="H79" s="158">
        <v>0</v>
      </c>
      <c r="I79" s="158">
        <v>0</v>
      </c>
      <c r="J79" s="158">
        <v>0</v>
      </c>
      <c r="K79" s="158">
        <v>0</v>
      </c>
      <c r="L79" s="158">
        <v>0</v>
      </c>
      <c r="M79" s="158">
        <v>0</v>
      </c>
      <c r="N79" s="158">
        <v>0</v>
      </c>
      <c r="O79" s="158">
        <v>0</v>
      </c>
      <c r="P79" s="159">
        <v>0</v>
      </c>
      <c r="Q79" s="157">
        <v>0</v>
      </c>
      <c r="R79" s="158">
        <v>0</v>
      </c>
      <c r="S79" s="158">
        <v>0</v>
      </c>
      <c r="T79" s="158">
        <v>2033.1523151538468</v>
      </c>
      <c r="U79" s="158">
        <v>3187.2288200974626</v>
      </c>
      <c r="V79" s="158">
        <v>4005.548504076005</v>
      </c>
      <c r="W79" s="158">
        <v>1953.1383333500457</v>
      </c>
      <c r="X79" s="158">
        <v>1595.6502024916438</v>
      </c>
      <c r="Y79" s="158">
        <v>1849.3157706679369</v>
      </c>
      <c r="Z79" s="158">
        <v>4162.6295659081388</v>
      </c>
      <c r="AA79" s="158">
        <v>901.78440590604532</v>
      </c>
      <c r="AB79" s="159">
        <v>2724.7684464598142</v>
      </c>
      <c r="AC79" s="157">
        <v>0</v>
      </c>
      <c r="AD79" s="158">
        <v>0</v>
      </c>
      <c r="AE79" s="158">
        <v>0</v>
      </c>
      <c r="AF79" s="158">
        <v>2033.1523151538468</v>
      </c>
      <c r="AG79" s="158">
        <v>3187.2288200974626</v>
      </c>
      <c r="AH79" s="158">
        <v>4005.548504076005</v>
      </c>
      <c r="AI79" s="158">
        <v>1953.1383333500457</v>
      </c>
      <c r="AJ79" s="158">
        <v>1595.6502024916438</v>
      </c>
      <c r="AK79" s="158">
        <v>1849.3157706679369</v>
      </c>
      <c r="AL79" s="158">
        <v>4162.6295659081388</v>
      </c>
      <c r="AM79" s="158">
        <v>901.78440590604532</v>
      </c>
      <c r="AN79" s="159">
        <v>2724.7684464598142</v>
      </c>
    </row>
    <row r="80" spans="2:45" ht="15" thickBot="1" x14ac:dyDescent="0.35">
      <c r="B80" s="175" t="s">
        <v>138</v>
      </c>
      <c r="C80" s="176"/>
      <c r="D80" s="177"/>
      <c r="E80" s="157">
        <v>0</v>
      </c>
      <c r="F80" s="158">
        <v>0</v>
      </c>
      <c r="G80" s="158">
        <v>0</v>
      </c>
      <c r="H80" s="158">
        <v>0</v>
      </c>
      <c r="I80" s="158">
        <v>0</v>
      </c>
      <c r="J80" s="158">
        <v>0</v>
      </c>
      <c r="K80" s="158">
        <v>0</v>
      </c>
      <c r="L80" s="158">
        <v>0</v>
      </c>
      <c r="M80" s="158">
        <v>0</v>
      </c>
      <c r="N80" s="158">
        <v>0</v>
      </c>
      <c r="O80" s="158">
        <v>0</v>
      </c>
      <c r="P80" s="159">
        <v>0</v>
      </c>
      <c r="Q80" s="157">
        <v>0</v>
      </c>
      <c r="R80" s="158">
        <v>0</v>
      </c>
      <c r="S80" s="158">
        <v>0</v>
      </c>
      <c r="T80" s="158">
        <v>0</v>
      </c>
      <c r="U80" s="158">
        <v>0</v>
      </c>
      <c r="V80" s="158">
        <v>0</v>
      </c>
      <c r="W80" s="158">
        <v>0</v>
      </c>
      <c r="X80" s="158">
        <v>0</v>
      </c>
      <c r="Y80" s="158">
        <v>0</v>
      </c>
      <c r="Z80" s="158">
        <v>0</v>
      </c>
      <c r="AA80" s="158">
        <v>0</v>
      </c>
      <c r="AB80" s="159">
        <v>0</v>
      </c>
      <c r="AC80" s="157">
        <v>0</v>
      </c>
      <c r="AD80" s="158">
        <v>0</v>
      </c>
      <c r="AE80" s="158">
        <v>0</v>
      </c>
      <c r="AF80" s="158">
        <v>0</v>
      </c>
      <c r="AG80" s="158">
        <v>0</v>
      </c>
      <c r="AH80" s="158">
        <v>0</v>
      </c>
      <c r="AI80" s="158">
        <v>0</v>
      </c>
      <c r="AJ80" s="158">
        <v>0</v>
      </c>
      <c r="AK80" s="158">
        <v>0</v>
      </c>
      <c r="AL80" s="158">
        <v>0</v>
      </c>
      <c r="AM80" s="158">
        <v>0</v>
      </c>
      <c r="AN80" s="159">
        <v>0</v>
      </c>
    </row>
    <row r="81" spans="2:45" ht="15" thickBot="1" x14ac:dyDescent="0.35">
      <c r="B81" s="175" t="s">
        <v>138</v>
      </c>
      <c r="C81" s="176"/>
      <c r="D81" s="177"/>
      <c r="E81" s="157">
        <v>0</v>
      </c>
      <c r="F81" s="158">
        <v>0</v>
      </c>
      <c r="G81" s="158">
        <v>0</v>
      </c>
      <c r="H81" s="158">
        <v>0</v>
      </c>
      <c r="I81" s="158">
        <v>0</v>
      </c>
      <c r="J81" s="158">
        <v>0</v>
      </c>
      <c r="K81" s="158">
        <v>0</v>
      </c>
      <c r="L81" s="158">
        <v>0</v>
      </c>
      <c r="M81" s="158">
        <v>0</v>
      </c>
      <c r="N81" s="158">
        <v>0</v>
      </c>
      <c r="O81" s="158">
        <v>0</v>
      </c>
      <c r="P81" s="159">
        <v>0</v>
      </c>
      <c r="Q81" s="157">
        <v>0</v>
      </c>
      <c r="R81" s="158">
        <v>0</v>
      </c>
      <c r="S81" s="158">
        <v>0</v>
      </c>
      <c r="T81" s="158">
        <v>0</v>
      </c>
      <c r="U81" s="158">
        <v>0</v>
      </c>
      <c r="V81" s="158">
        <v>0</v>
      </c>
      <c r="W81" s="158">
        <v>0</v>
      </c>
      <c r="X81" s="158">
        <v>0</v>
      </c>
      <c r="Y81" s="158">
        <v>0</v>
      </c>
      <c r="Z81" s="158">
        <v>0</v>
      </c>
      <c r="AA81" s="158">
        <v>0</v>
      </c>
      <c r="AB81" s="159">
        <v>0</v>
      </c>
      <c r="AC81" s="157">
        <v>0</v>
      </c>
      <c r="AD81" s="158">
        <v>0</v>
      </c>
      <c r="AE81" s="158">
        <v>0</v>
      </c>
      <c r="AF81" s="158">
        <v>0</v>
      </c>
      <c r="AG81" s="158">
        <v>0</v>
      </c>
      <c r="AH81" s="158">
        <v>0</v>
      </c>
      <c r="AI81" s="158">
        <v>0</v>
      </c>
      <c r="AJ81" s="158">
        <v>0</v>
      </c>
      <c r="AK81" s="158">
        <v>0</v>
      </c>
      <c r="AL81" s="158">
        <v>0</v>
      </c>
      <c r="AM81" s="158">
        <v>0</v>
      </c>
      <c r="AN81" s="159">
        <v>0</v>
      </c>
    </row>
    <row r="82" spans="2:45" ht="15" thickBot="1" x14ac:dyDescent="0.35">
      <c r="B82" s="175" t="s">
        <v>138</v>
      </c>
      <c r="C82" s="176"/>
      <c r="D82" s="177"/>
      <c r="E82" s="157">
        <v>0</v>
      </c>
      <c r="F82" s="158">
        <v>0</v>
      </c>
      <c r="G82" s="158">
        <v>0</v>
      </c>
      <c r="H82" s="158">
        <v>0</v>
      </c>
      <c r="I82" s="158">
        <v>0</v>
      </c>
      <c r="J82" s="158">
        <v>0</v>
      </c>
      <c r="K82" s="158">
        <v>0</v>
      </c>
      <c r="L82" s="158">
        <v>0</v>
      </c>
      <c r="M82" s="158">
        <v>0</v>
      </c>
      <c r="N82" s="158">
        <v>0</v>
      </c>
      <c r="O82" s="158">
        <v>0</v>
      </c>
      <c r="P82" s="159">
        <v>0</v>
      </c>
      <c r="Q82" s="157">
        <v>0</v>
      </c>
      <c r="R82" s="158">
        <v>0</v>
      </c>
      <c r="S82" s="158">
        <v>0</v>
      </c>
      <c r="T82" s="158">
        <v>0</v>
      </c>
      <c r="U82" s="158">
        <v>0</v>
      </c>
      <c r="V82" s="158">
        <v>0</v>
      </c>
      <c r="W82" s="158">
        <v>0</v>
      </c>
      <c r="X82" s="158">
        <v>0</v>
      </c>
      <c r="Y82" s="158">
        <v>0</v>
      </c>
      <c r="Z82" s="158">
        <v>0</v>
      </c>
      <c r="AA82" s="158">
        <v>0</v>
      </c>
      <c r="AB82" s="159">
        <v>0</v>
      </c>
      <c r="AC82" s="157">
        <v>0</v>
      </c>
      <c r="AD82" s="158">
        <v>0</v>
      </c>
      <c r="AE82" s="158">
        <v>0</v>
      </c>
      <c r="AF82" s="158">
        <v>0</v>
      </c>
      <c r="AG82" s="158">
        <v>0</v>
      </c>
      <c r="AH82" s="158">
        <v>0</v>
      </c>
      <c r="AI82" s="158">
        <v>0</v>
      </c>
      <c r="AJ82" s="158">
        <v>0</v>
      </c>
      <c r="AK82" s="158">
        <v>0</v>
      </c>
      <c r="AL82" s="158">
        <v>0</v>
      </c>
      <c r="AM82" s="158">
        <v>0</v>
      </c>
      <c r="AN82" s="159">
        <v>0</v>
      </c>
    </row>
    <row r="83" spans="2:45" ht="15" thickBot="1" x14ac:dyDescent="0.35">
      <c r="B83" s="175" t="s">
        <v>215</v>
      </c>
      <c r="C83" s="176"/>
      <c r="D83" s="177"/>
      <c r="E83" s="157">
        <v>0</v>
      </c>
      <c r="F83" s="158">
        <v>0</v>
      </c>
      <c r="G83" s="158">
        <v>0</v>
      </c>
      <c r="H83" s="158">
        <v>0</v>
      </c>
      <c r="I83" s="158">
        <v>0</v>
      </c>
      <c r="J83" s="158">
        <v>0</v>
      </c>
      <c r="K83" s="158">
        <v>0</v>
      </c>
      <c r="L83" s="158">
        <v>0</v>
      </c>
      <c r="M83" s="158">
        <v>0</v>
      </c>
      <c r="N83" s="158">
        <v>0</v>
      </c>
      <c r="O83" s="158">
        <v>0</v>
      </c>
      <c r="P83" s="159">
        <v>0</v>
      </c>
      <c r="Q83" s="157">
        <v>0</v>
      </c>
      <c r="R83" s="158">
        <v>0</v>
      </c>
      <c r="S83" s="158">
        <v>0</v>
      </c>
      <c r="T83" s="158">
        <v>0</v>
      </c>
      <c r="U83" s="158">
        <v>0</v>
      </c>
      <c r="V83" s="158">
        <v>0</v>
      </c>
      <c r="W83" s="158">
        <v>0</v>
      </c>
      <c r="X83" s="158">
        <v>0</v>
      </c>
      <c r="Y83" s="158">
        <v>0</v>
      </c>
      <c r="Z83" s="158">
        <v>0</v>
      </c>
      <c r="AA83" s="158">
        <v>0</v>
      </c>
      <c r="AB83" s="159">
        <v>0</v>
      </c>
      <c r="AC83" s="157">
        <v>0</v>
      </c>
      <c r="AD83" s="158">
        <v>0</v>
      </c>
      <c r="AE83" s="158">
        <v>0</v>
      </c>
      <c r="AF83" s="158">
        <v>0</v>
      </c>
      <c r="AG83" s="158">
        <v>0</v>
      </c>
      <c r="AH83" s="158">
        <v>0</v>
      </c>
      <c r="AI83" s="158">
        <v>0</v>
      </c>
      <c r="AJ83" s="158">
        <v>0</v>
      </c>
      <c r="AK83" s="158">
        <v>0</v>
      </c>
      <c r="AL83" s="158">
        <v>0</v>
      </c>
      <c r="AM83" s="158">
        <v>0</v>
      </c>
      <c r="AN83" s="159">
        <v>0</v>
      </c>
    </row>
    <row r="84" spans="2:45" ht="15" thickBot="1" x14ac:dyDescent="0.35">
      <c r="B84" s="160"/>
      <c r="C84" s="161"/>
      <c r="D84" s="162" t="s">
        <v>3</v>
      </c>
      <c r="E84" s="25">
        <f>SUM(E67:E83)</f>
        <v>37230.442999999999</v>
      </c>
      <c r="F84" s="25">
        <f t="shared" ref="F84:AN84" si="7">SUM(F67:F83)</f>
        <v>68982.453999999998</v>
      </c>
      <c r="G84" s="25">
        <f t="shared" si="7"/>
        <v>49468.387999999999</v>
      </c>
      <c r="H84" s="25">
        <f t="shared" si="7"/>
        <v>32020.799999999999</v>
      </c>
      <c r="I84" s="25">
        <f t="shared" si="7"/>
        <v>83970.700000000012</v>
      </c>
      <c r="J84" s="25">
        <f t="shared" si="7"/>
        <v>135918.40000000002</v>
      </c>
      <c r="K84" s="25">
        <f t="shared" si="7"/>
        <v>144180</v>
      </c>
      <c r="L84" s="25">
        <f t="shared" si="7"/>
        <v>39553.199999999997</v>
      </c>
      <c r="M84" s="25">
        <f t="shared" si="7"/>
        <v>38701.799999999996</v>
      </c>
      <c r="N84" s="25">
        <f t="shared" si="7"/>
        <v>84867.700000000012</v>
      </c>
      <c r="O84" s="25">
        <f t="shared" si="7"/>
        <v>110566.3</v>
      </c>
      <c r="P84" s="163">
        <f t="shared" si="7"/>
        <v>130970.70000000001</v>
      </c>
      <c r="Q84" s="25">
        <f t="shared" si="7"/>
        <v>39024.236130544741</v>
      </c>
      <c r="R84" s="25">
        <f t="shared" si="7"/>
        <v>42573.219370467777</v>
      </c>
      <c r="S84" s="25">
        <f t="shared" si="7"/>
        <v>30904.156770250549</v>
      </c>
      <c r="T84" s="25">
        <f t="shared" si="7"/>
        <v>34614.452159123888</v>
      </c>
      <c r="U84" s="25">
        <f t="shared" si="7"/>
        <v>87832.714622932283</v>
      </c>
      <c r="V84" s="25">
        <f t="shared" si="7"/>
        <v>145340.64884836352</v>
      </c>
      <c r="W84" s="25">
        <f t="shared" si="7"/>
        <v>142290.13505152156</v>
      </c>
      <c r="X84" s="25">
        <f t="shared" si="7"/>
        <v>41007.736868756321</v>
      </c>
      <c r="Y84" s="25">
        <f t="shared" si="7"/>
        <v>37649.426003633467</v>
      </c>
      <c r="Z84" s="25">
        <f t="shared" si="7"/>
        <v>87387.655712448206</v>
      </c>
      <c r="AA84" s="25">
        <f t="shared" si="7"/>
        <v>164255.82540974952</v>
      </c>
      <c r="AB84" s="163">
        <f t="shared" si="7"/>
        <v>84003.286716319097</v>
      </c>
      <c r="AC84" s="25">
        <f t="shared" si="7"/>
        <v>40380.901833403681</v>
      </c>
      <c r="AD84" s="25">
        <f t="shared" si="7"/>
        <v>43631.216449469961</v>
      </c>
      <c r="AE84" s="25">
        <f t="shared" si="7"/>
        <v>32028.126605196692</v>
      </c>
      <c r="AF84" s="25">
        <f t="shared" si="7"/>
        <v>35783.833745770142</v>
      </c>
      <c r="AG84" s="25">
        <f t="shared" si="7"/>
        <v>90672.928386277214</v>
      </c>
      <c r="AH84" s="25">
        <f t="shared" si="7"/>
        <v>148709.33542636581</v>
      </c>
      <c r="AI84" s="25">
        <f t="shared" si="7"/>
        <v>146677.09859150191</v>
      </c>
      <c r="AJ84" s="25">
        <f t="shared" si="7"/>
        <v>42330.158946112293</v>
      </c>
      <c r="AK84" s="25">
        <f t="shared" si="7"/>
        <v>38899.227060561105</v>
      </c>
      <c r="AL84" s="25">
        <f t="shared" si="7"/>
        <v>90176.718537761597</v>
      </c>
      <c r="AM84" s="25">
        <f t="shared" si="7"/>
        <v>168269.77344430686</v>
      </c>
      <c r="AN84" s="163">
        <f t="shared" si="7"/>
        <v>86628.519636383673</v>
      </c>
    </row>
    <row r="85" spans="2:45" s="31" customFormat="1" x14ac:dyDescent="0.3">
      <c r="B85" s="69"/>
      <c r="C85" s="70"/>
      <c r="D85" s="71" t="s">
        <v>2</v>
      </c>
      <c r="E85" s="70">
        <f t="shared" ref="E85:AN85" si="8">IF(E87&gt;0.1,E87,0)</f>
        <v>69253.859999999986</v>
      </c>
      <c r="F85" s="70">
        <f t="shared" si="8"/>
        <v>44229.493999999977</v>
      </c>
      <c r="G85" s="70">
        <f t="shared" si="8"/>
        <v>22912.352999999981</v>
      </c>
      <c r="H85" s="70">
        <f t="shared" si="8"/>
        <v>127885.17</v>
      </c>
      <c r="I85" s="70">
        <f t="shared" si="8"/>
        <v>227090.68800000002</v>
      </c>
      <c r="J85" s="70">
        <f t="shared" si="8"/>
        <v>179871.87600000005</v>
      </c>
      <c r="K85" s="70">
        <f t="shared" si="8"/>
        <v>70732.965000000055</v>
      </c>
      <c r="L85" s="70">
        <f t="shared" si="8"/>
        <v>64694.220000000059</v>
      </c>
      <c r="M85" s="70">
        <f t="shared" si="8"/>
        <v>97239.478000000061</v>
      </c>
      <c r="N85" s="70">
        <f t="shared" si="8"/>
        <v>230677.14000000007</v>
      </c>
      <c r="O85" s="70">
        <f t="shared" si="8"/>
        <v>196369.59300000011</v>
      </c>
      <c r="P85" s="164">
        <f t="shared" si="8"/>
        <v>95346.972000000096</v>
      </c>
      <c r="Q85" s="70">
        <f t="shared" si="8"/>
        <v>86308.095267721073</v>
      </c>
      <c r="R85" s="70">
        <f t="shared" si="8"/>
        <v>86680.258173176597</v>
      </c>
      <c r="S85" s="70">
        <f t="shared" si="8"/>
        <v>95959.622343127645</v>
      </c>
      <c r="T85" s="70">
        <f t="shared" si="8"/>
        <v>198622.9297566411</v>
      </c>
      <c r="U85" s="70">
        <f t="shared" si="8"/>
        <v>288385.82523348869</v>
      </c>
      <c r="V85" s="70">
        <f t="shared" si="8"/>
        <v>223734.72143425388</v>
      </c>
      <c r="W85" s="70">
        <f t="shared" si="8"/>
        <v>122889.75114955791</v>
      </c>
      <c r="X85" s="70">
        <f t="shared" si="8"/>
        <v>114225.85640978388</v>
      </c>
      <c r="Y85" s="70">
        <f t="shared" si="8"/>
        <v>139783.69638784049</v>
      </c>
      <c r="Z85" s="70">
        <f t="shared" si="8"/>
        <v>263182.66063281684</v>
      </c>
      <c r="AA85" s="70">
        <f t="shared" si="8"/>
        <v>185042.6149462749</v>
      </c>
      <c r="AB85" s="164">
        <f t="shared" si="8"/>
        <v>141127.54747588915</v>
      </c>
      <c r="AC85" s="70">
        <f t="shared" si="8"/>
        <v>130968.00860875228</v>
      </c>
      <c r="AD85" s="70">
        <f t="shared" si="8"/>
        <v>130474.93552466857</v>
      </c>
      <c r="AE85" s="70">
        <f t="shared" si="8"/>
        <v>139040.1407020617</v>
      </c>
      <c r="AF85" s="70">
        <f t="shared" si="8"/>
        <v>244286.1678013003</v>
      </c>
      <c r="AG85" s="70">
        <f t="shared" si="8"/>
        <v>335985.97188290843</v>
      </c>
      <c r="AH85" s="70">
        <f t="shared" si="8"/>
        <v>268323.93085608375</v>
      </c>
      <c r="AI85" s="70">
        <f t="shared" si="8"/>
        <v>163537.05363797318</v>
      </c>
      <c r="AJ85" s="70">
        <f t="shared" si="8"/>
        <v>153870.57604306555</v>
      </c>
      <c r="AK85" s="70">
        <f t="shared" si="8"/>
        <v>179695.19162346495</v>
      </c>
      <c r="AL85" s="70">
        <f t="shared" si="8"/>
        <v>306239.93827802222</v>
      </c>
      <c r="AM85" s="70">
        <f t="shared" si="8"/>
        <v>224443.00477459619</v>
      </c>
      <c r="AN85" s="164">
        <f t="shared" si="8"/>
        <v>178220.76047097804</v>
      </c>
    </row>
    <row r="86" spans="2:45" s="31" customFormat="1" x14ac:dyDescent="0.3">
      <c r="B86" s="28"/>
      <c r="C86" s="29"/>
      <c r="D86" s="30" t="s">
        <v>1</v>
      </c>
      <c r="E86" s="29">
        <f t="shared" ref="E86:AN86" si="9">IF(E87&lt;0.001,E87,0)</f>
        <v>0</v>
      </c>
      <c r="F86" s="29">
        <f t="shared" si="9"/>
        <v>0</v>
      </c>
      <c r="G86" s="29">
        <f t="shared" si="9"/>
        <v>0</v>
      </c>
      <c r="H86" s="29">
        <f t="shared" si="9"/>
        <v>0</v>
      </c>
      <c r="I86" s="29">
        <f t="shared" si="9"/>
        <v>0</v>
      </c>
      <c r="J86" s="29">
        <f t="shared" si="9"/>
        <v>0</v>
      </c>
      <c r="K86" s="29">
        <f t="shared" si="9"/>
        <v>0</v>
      </c>
      <c r="L86" s="29">
        <f t="shared" si="9"/>
        <v>0</v>
      </c>
      <c r="M86" s="29">
        <f t="shared" si="9"/>
        <v>0</v>
      </c>
      <c r="N86" s="29">
        <f t="shared" si="9"/>
        <v>0</v>
      </c>
      <c r="O86" s="29">
        <f t="shared" si="9"/>
        <v>0</v>
      </c>
      <c r="P86" s="165">
        <f t="shared" si="9"/>
        <v>0</v>
      </c>
      <c r="Q86" s="29">
        <f t="shared" si="9"/>
        <v>0</v>
      </c>
      <c r="R86" s="29">
        <f t="shared" si="9"/>
        <v>0</v>
      </c>
      <c r="S86" s="29">
        <f t="shared" si="9"/>
        <v>0</v>
      </c>
      <c r="T86" s="29">
        <f t="shared" si="9"/>
        <v>0</v>
      </c>
      <c r="U86" s="29">
        <f t="shared" si="9"/>
        <v>0</v>
      </c>
      <c r="V86" s="29">
        <f t="shared" si="9"/>
        <v>0</v>
      </c>
      <c r="W86" s="29">
        <f t="shared" si="9"/>
        <v>0</v>
      </c>
      <c r="X86" s="29">
        <f t="shared" si="9"/>
        <v>0</v>
      </c>
      <c r="Y86" s="29">
        <f t="shared" si="9"/>
        <v>0</v>
      </c>
      <c r="Z86" s="29">
        <f t="shared" si="9"/>
        <v>0</v>
      </c>
      <c r="AA86" s="29">
        <f t="shared" si="9"/>
        <v>0</v>
      </c>
      <c r="AB86" s="165">
        <f t="shared" si="9"/>
        <v>0</v>
      </c>
      <c r="AC86" s="29">
        <f t="shared" si="9"/>
        <v>0</v>
      </c>
      <c r="AD86" s="29">
        <f t="shared" si="9"/>
        <v>0</v>
      </c>
      <c r="AE86" s="29">
        <f t="shared" si="9"/>
        <v>0</v>
      </c>
      <c r="AF86" s="29">
        <f t="shared" si="9"/>
        <v>0</v>
      </c>
      <c r="AG86" s="29">
        <f t="shared" si="9"/>
        <v>0</v>
      </c>
      <c r="AH86" s="29">
        <f t="shared" si="9"/>
        <v>0</v>
      </c>
      <c r="AI86" s="29">
        <f t="shared" si="9"/>
        <v>0</v>
      </c>
      <c r="AJ86" s="29">
        <f t="shared" si="9"/>
        <v>0</v>
      </c>
      <c r="AK86" s="29">
        <f t="shared" si="9"/>
        <v>0</v>
      </c>
      <c r="AL86" s="29">
        <f t="shared" si="9"/>
        <v>0</v>
      </c>
      <c r="AM86" s="29">
        <f t="shared" si="9"/>
        <v>0</v>
      </c>
      <c r="AN86" s="165">
        <f t="shared" si="9"/>
        <v>0</v>
      </c>
      <c r="AP86"/>
      <c r="AQ86" s="143"/>
      <c r="AR86" s="143"/>
      <c r="AS86" s="143"/>
    </row>
    <row r="87" spans="2:45" s="29" customFormat="1" ht="15" thickBot="1" x14ac:dyDescent="0.35">
      <c r="B87" s="32"/>
      <c r="C87" s="33"/>
      <c r="D87" s="72" t="s">
        <v>0</v>
      </c>
      <c r="E87" s="33">
        <f>C48+E66-E84</f>
        <v>69253.859999999986</v>
      </c>
      <c r="F87" s="33">
        <f t="shared" ref="F87:AN87" si="10">E87+F66-F84</f>
        <v>44229.493999999977</v>
      </c>
      <c r="G87" s="33">
        <f t="shared" si="10"/>
        <v>22912.352999999981</v>
      </c>
      <c r="H87" s="33">
        <f t="shared" si="10"/>
        <v>127885.17</v>
      </c>
      <c r="I87" s="33">
        <f t="shared" si="10"/>
        <v>227090.68800000002</v>
      </c>
      <c r="J87" s="33">
        <f t="shared" si="10"/>
        <v>179871.87600000005</v>
      </c>
      <c r="K87" s="33">
        <f t="shared" si="10"/>
        <v>70732.965000000055</v>
      </c>
      <c r="L87" s="33">
        <f t="shared" si="10"/>
        <v>64694.220000000059</v>
      </c>
      <c r="M87" s="33">
        <f t="shared" si="10"/>
        <v>97239.478000000061</v>
      </c>
      <c r="N87" s="33">
        <f t="shared" si="10"/>
        <v>230677.14000000007</v>
      </c>
      <c r="O87" s="33">
        <f t="shared" si="10"/>
        <v>196369.59300000011</v>
      </c>
      <c r="P87" s="166">
        <f t="shared" si="10"/>
        <v>95346.972000000096</v>
      </c>
      <c r="Q87" s="33">
        <f t="shared" si="10"/>
        <v>86308.095267721073</v>
      </c>
      <c r="R87" s="33">
        <f t="shared" si="10"/>
        <v>86680.258173176597</v>
      </c>
      <c r="S87" s="33">
        <f t="shared" si="10"/>
        <v>95959.622343127645</v>
      </c>
      <c r="T87" s="33">
        <f t="shared" si="10"/>
        <v>198622.9297566411</v>
      </c>
      <c r="U87" s="33">
        <f t="shared" si="10"/>
        <v>288385.82523348869</v>
      </c>
      <c r="V87" s="33">
        <f t="shared" si="10"/>
        <v>223734.72143425388</v>
      </c>
      <c r="W87" s="33">
        <f t="shared" si="10"/>
        <v>122889.75114955791</v>
      </c>
      <c r="X87" s="33">
        <f t="shared" si="10"/>
        <v>114225.85640978388</v>
      </c>
      <c r="Y87" s="33">
        <f t="shared" si="10"/>
        <v>139783.69638784049</v>
      </c>
      <c r="Z87" s="33">
        <f t="shared" si="10"/>
        <v>263182.66063281684</v>
      </c>
      <c r="AA87" s="33">
        <f t="shared" si="10"/>
        <v>185042.6149462749</v>
      </c>
      <c r="AB87" s="166">
        <f t="shared" si="10"/>
        <v>141127.54747588915</v>
      </c>
      <c r="AC87" s="33">
        <f t="shared" si="10"/>
        <v>130968.00860875228</v>
      </c>
      <c r="AD87" s="33">
        <f t="shared" si="10"/>
        <v>130474.93552466857</v>
      </c>
      <c r="AE87" s="33">
        <f t="shared" si="10"/>
        <v>139040.1407020617</v>
      </c>
      <c r="AF87" s="33">
        <f t="shared" si="10"/>
        <v>244286.1678013003</v>
      </c>
      <c r="AG87" s="33">
        <f t="shared" si="10"/>
        <v>335985.97188290843</v>
      </c>
      <c r="AH87" s="33">
        <f t="shared" si="10"/>
        <v>268323.93085608375</v>
      </c>
      <c r="AI87" s="33">
        <f t="shared" si="10"/>
        <v>163537.05363797318</v>
      </c>
      <c r="AJ87" s="33">
        <f t="shared" si="10"/>
        <v>153870.57604306555</v>
      </c>
      <c r="AK87" s="33">
        <f t="shared" si="10"/>
        <v>179695.19162346495</v>
      </c>
      <c r="AL87" s="33">
        <f t="shared" si="10"/>
        <v>306239.93827802222</v>
      </c>
      <c r="AM87" s="33">
        <f t="shared" si="10"/>
        <v>224443.00477459619</v>
      </c>
      <c r="AN87" s="166">
        <f t="shared" si="10"/>
        <v>178220.76047097804</v>
      </c>
      <c r="AP87"/>
      <c r="AQ87" s="143"/>
      <c r="AR87" s="143"/>
      <c r="AS87" s="143"/>
    </row>
    <row r="88" spans="2:45" x14ac:dyDescent="0.3">
      <c r="B88" s="151"/>
      <c r="AQ88" s="143"/>
      <c r="AR88" s="143"/>
      <c r="AS88" s="143"/>
    </row>
    <row r="89" spans="2:45" x14ac:dyDescent="0.3">
      <c r="B89" s="167" t="str">
        <f>CONCATENATE(A1," ",A2)</f>
        <v>MONTHLY FORECAST - GENERAL FUND FOR FISCAL YEAR ENDING-JUN-2021</v>
      </c>
    </row>
    <row r="90" spans="2:45" x14ac:dyDescent="0.3">
      <c r="B90" s="168"/>
    </row>
    <row r="92" spans="2:45" x14ac:dyDescent="0.3">
      <c r="E92" s="169"/>
      <c r="F92" s="169"/>
      <c r="G92" s="169"/>
      <c r="H92" s="169"/>
      <c r="I92" s="169"/>
      <c r="J92" s="169"/>
      <c r="K92" s="169"/>
      <c r="L92" s="169"/>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69"/>
      <c r="AM92" s="169"/>
      <c r="AN92" s="169"/>
    </row>
    <row r="93" spans="2:45" x14ac:dyDescent="0.3">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169"/>
      <c r="AM93" s="169"/>
      <c r="AN93" s="169"/>
    </row>
    <row r="94" spans="2:45" x14ac:dyDescent="0.3">
      <c r="E94" s="80"/>
      <c r="F94" s="80"/>
      <c r="G94" s="80"/>
      <c r="H94" s="80"/>
      <c r="I94" s="80"/>
    </row>
  </sheetData>
  <sheetProtection algorithmName="SHA-512" hashValue="wpSAl+VMm5qd9xGuZJG4GZgvTy+OSf4a6+7jZL78XzRygMrV2ehhU8gcEg22B8a5seHfwg5tAUf4n+5punPWxA==" saltValue="nnsNip7UgyWvnvNRmxuUpg==" spinCount="100000" sheet="1" objects="1" scenarios="1"/>
  <mergeCells count="36">
    <mergeCell ref="B58:D58"/>
    <mergeCell ref="A1:F1"/>
    <mergeCell ref="A2:F2"/>
    <mergeCell ref="B49:D49"/>
    <mergeCell ref="B50:D50"/>
    <mergeCell ref="B51:D51"/>
    <mergeCell ref="B52:D52"/>
    <mergeCell ref="B53:D53"/>
    <mergeCell ref="B54:D54"/>
    <mergeCell ref="B55:D55"/>
    <mergeCell ref="B56:D56"/>
    <mergeCell ref="B57:D57"/>
    <mergeCell ref="B71:D71"/>
    <mergeCell ref="B59:D59"/>
    <mergeCell ref="B60:D60"/>
    <mergeCell ref="B61:D61"/>
    <mergeCell ref="B62:D62"/>
    <mergeCell ref="B63:D63"/>
    <mergeCell ref="B64:D64"/>
    <mergeCell ref="B65:D65"/>
    <mergeCell ref="B67:D67"/>
    <mergeCell ref="B68:D68"/>
    <mergeCell ref="B69:D69"/>
    <mergeCell ref="B70:D70"/>
    <mergeCell ref="B83:D83"/>
    <mergeCell ref="B72:D72"/>
    <mergeCell ref="B73:D73"/>
    <mergeCell ref="B74:D74"/>
    <mergeCell ref="B75:D75"/>
    <mergeCell ref="B76:D76"/>
    <mergeCell ref="B77:D77"/>
    <mergeCell ref="B78:D78"/>
    <mergeCell ref="B79:D79"/>
    <mergeCell ref="B80:D80"/>
    <mergeCell ref="B81:D81"/>
    <mergeCell ref="B82:D8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AX37"/>
  <sheetViews>
    <sheetView workbookViewId="0"/>
  </sheetViews>
  <sheetFormatPr defaultColWidth="8.6640625" defaultRowHeight="14.4" x14ac:dyDescent="0.3"/>
  <cols>
    <col min="2" max="12" width="9.5546875" style="74" bestFit="1" customWidth="1"/>
    <col min="13" max="14" width="9.5546875" bestFit="1" customWidth="1"/>
  </cols>
  <sheetData>
    <row r="1" spans="2:50" x14ac:dyDescent="0.3">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row>
    <row r="2" spans="2:50" x14ac:dyDescent="0.3">
      <c r="B2" s="188" t="s">
        <v>188</v>
      </c>
      <c r="C2" s="189" t="s">
        <v>93</v>
      </c>
      <c r="D2" s="189" t="s">
        <v>94</v>
      </c>
      <c r="E2" s="189" t="s">
        <v>95</v>
      </c>
      <c r="F2" s="189" t="s">
        <v>96</v>
      </c>
      <c r="G2" s="189" t="s">
        <v>92</v>
      </c>
      <c r="H2" s="189" t="s">
        <v>97</v>
      </c>
      <c r="I2" s="189" t="s">
        <v>98</v>
      </c>
      <c r="J2" s="189" t="s">
        <v>99</v>
      </c>
      <c r="K2" s="189" t="s">
        <v>100</v>
      </c>
      <c r="L2" s="189" t="s">
        <v>101</v>
      </c>
      <c r="M2" s="189" t="s">
        <v>102</v>
      </c>
      <c r="N2" s="188" t="s">
        <v>188</v>
      </c>
      <c r="P2" s="185"/>
      <c r="Q2" s="186"/>
      <c r="R2" s="185"/>
      <c r="S2" s="186"/>
      <c r="T2" s="186"/>
      <c r="U2" s="186"/>
      <c r="V2" s="186"/>
      <c r="W2" s="186"/>
      <c r="X2" s="186"/>
      <c r="Y2" s="186"/>
      <c r="Z2" s="186"/>
      <c r="AA2" s="186"/>
      <c r="AB2" s="186"/>
      <c r="AO2">
        <v>2019</v>
      </c>
    </row>
    <row r="3" spans="2:50" x14ac:dyDescent="0.3">
      <c r="B3" s="188" t="s">
        <v>189</v>
      </c>
      <c r="C3" s="189" t="s">
        <v>94</v>
      </c>
      <c r="D3" s="189" t="s">
        <v>95</v>
      </c>
      <c r="E3" s="189" t="s">
        <v>96</v>
      </c>
      <c r="F3" s="189" t="s">
        <v>92</v>
      </c>
      <c r="G3" s="189" t="s">
        <v>97</v>
      </c>
      <c r="H3" s="189" t="s">
        <v>98</v>
      </c>
      <c r="I3" s="189" t="s">
        <v>99</v>
      </c>
      <c r="J3" s="189" t="s">
        <v>100</v>
      </c>
      <c r="K3" s="189" t="s">
        <v>101</v>
      </c>
      <c r="L3" s="189" t="s">
        <v>102</v>
      </c>
      <c r="M3" s="188" t="s">
        <v>188</v>
      </c>
      <c r="N3" s="188" t="s">
        <v>189</v>
      </c>
      <c r="AO3">
        <v>2019</v>
      </c>
    </row>
    <row r="4" spans="2:50" x14ac:dyDescent="0.3">
      <c r="B4" s="188" t="s">
        <v>190</v>
      </c>
      <c r="C4" s="189" t="s">
        <v>95</v>
      </c>
      <c r="D4" s="189" t="s">
        <v>96</v>
      </c>
      <c r="E4" s="189" t="s">
        <v>92</v>
      </c>
      <c r="F4" s="189" t="s">
        <v>97</v>
      </c>
      <c r="G4" s="189" t="s">
        <v>98</v>
      </c>
      <c r="H4" s="189" t="s">
        <v>99</v>
      </c>
      <c r="I4" s="189" t="s">
        <v>100</v>
      </c>
      <c r="J4" s="189" t="s">
        <v>101</v>
      </c>
      <c r="K4" s="189" t="s">
        <v>102</v>
      </c>
      <c r="L4" s="188" t="s">
        <v>188</v>
      </c>
      <c r="M4" s="188" t="s">
        <v>189</v>
      </c>
      <c r="N4" s="188" t="s">
        <v>190</v>
      </c>
      <c r="AO4">
        <v>2019</v>
      </c>
    </row>
    <row r="5" spans="2:50" x14ac:dyDescent="0.3">
      <c r="B5" s="188" t="s">
        <v>187</v>
      </c>
      <c r="C5" s="189" t="s">
        <v>96</v>
      </c>
      <c r="D5" s="189" t="s">
        <v>92</v>
      </c>
      <c r="E5" s="189" t="s">
        <v>97</v>
      </c>
      <c r="F5" s="189" t="s">
        <v>98</v>
      </c>
      <c r="G5" s="189" t="s">
        <v>99</v>
      </c>
      <c r="H5" s="189" t="s">
        <v>100</v>
      </c>
      <c r="I5" s="189" t="s">
        <v>101</v>
      </c>
      <c r="J5" s="189" t="s">
        <v>102</v>
      </c>
      <c r="K5" s="188" t="s">
        <v>188</v>
      </c>
      <c r="L5" s="188" t="s">
        <v>189</v>
      </c>
      <c r="M5" s="188" t="s">
        <v>190</v>
      </c>
      <c r="N5" s="188" t="s">
        <v>187</v>
      </c>
      <c r="AO5">
        <v>2019</v>
      </c>
    </row>
    <row r="6" spans="2:50" x14ac:dyDescent="0.3">
      <c r="B6" s="188" t="s">
        <v>186</v>
      </c>
      <c r="C6" s="189" t="s">
        <v>92</v>
      </c>
      <c r="D6" s="189" t="s">
        <v>97</v>
      </c>
      <c r="E6" s="189" t="s">
        <v>98</v>
      </c>
      <c r="F6" s="189" t="s">
        <v>99</v>
      </c>
      <c r="G6" s="189" t="s">
        <v>100</v>
      </c>
      <c r="H6" s="189" t="s">
        <v>101</v>
      </c>
      <c r="I6" s="189" t="s">
        <v>102</v>
      </c>
      <c r="J6" s="188" t="s">
        <v>188</v>
      </c>
      <c r="K6" s="188" t="s">
        <v>189</v>
      </c>
      <c r="L6" s="188" t="s">
        <v>190</v>
      </c>
      <c r="M6" s="188" t="s">
        <v>187</v>
      </c>
      <c r="N6" s="188" t="s">
        <v>186</v>
      </c>
      <c r="AO6">
        <v>2019</v>
      </c>
    </row>
    <row r="7" spans="2:50" x14ac:dyDescent="0.3">
      <c r="B7" s="188" t="s">
        <v>191</v>
      </c>
      <c r="C7" s="189" t="s">
        <v>97</v>
      </c>
      <c r="D7" s="189" t="s">
        <v>98</v>
      </c>
      <c r="E7" s="189" t="s">
        <v>99</v>
      </c>
      <c r="F7" s="189" t="s">
        <v>100</v>
      </c>
      <c r="G7" s="189" t="s">
        <v>101</v>
      </c>
      <c r="H7" s="189" t="s">
        <v>102</v>
      </c>
      <c r="I7" s="188" t="s">
        <v>188</v>
      </c>
      <c r="J7" s="188" t="s">
        <v>189</v>
      </c>
      <c r="K7" s="188" t="s">
        <v>190</v>
      </c>
      <c r="L7" s="188" t="s">
        <v>187</v>
      </c>
      <c r="M7" s="188" t="s">
        <v>186</v>
      </c>
      <c r="N7" s="188" t="s">
        <v>191</v>
      </c>
      <c r="AO7">
        <v>2019</v>
      </c>
    </row>
    <row r="8" spans="2:50" x14ac:dyDescent="0.3">
      <c r="B8" s="188" t="s">
        <v>192</v>
      </c>
      <c r="C8" s="189" t="s">
        <v>98</v>
      </c>
      <c r="D8" s="189" t="s">
        <v>99</v>
      </c>
      <c r="E8" s="189" t="s">
        <v>100</v>
      </c>
      <c r="F8" s="189" t="s">
        <v>101</v>
      </c>
      <c r="G8" s="189" t="s">
        <v>102</v>
      </c>
      <c r="H8" s="188" t="s">
        <v>188</v>
      </c>
      <c r="I8" s="188" t="s">
        <v>189</v>
      </c>
      <c r="J8" s="188" t="s">
        <v>190</v>
      </c>
      <c r="K8" s="188" t="s">
        <v>187</v>
      </c>
      <c r="L8" s="188" t="s">
        <v>186</v>
      </c>
      <c r="M8" s="188" t="s">
        <v>191</v>
      </c>
      <c r="N8" s="188" t="s">
        <v>192</v>
      </c>
      <c r="AO8">
        <v>2019</v>
      </c>
    </row>
    <row r="9" spans="2:50" x14ac:dyDescent="0.3">
      <c r="B9" s="188" t="s">
        <v>193</v>
      </c>
      <c r="C9" s="189" t="s">
        <v>99</v>
      </c>
      <c r="D9" s="189" t="s">
        <v>100</v>
      </c>
      <c r="E9" s="189" t="s">
        <v>101</v>
      </c>
      <c r="F9" s="189" t="s">
        <v>102</v>
      </c>
      <c r="G9" s="188" t="s">
        <v>188</v>
      </c>
      <c r="H9" s="188" t="s">
        <v>189</v>
      </c>
      <c r="I9" s="188" t="s">
        <v>190</v>
      </c>
      <c r="J9" s="188" t="s">
        <v>187</v>
      </c>
      <c r="K9" s="188" t="s">
        <v>186</v>
      </c>
      <c r="L9" s="188" t="s">
        <v>191</v>
      </c>
      <c r="M9" s="188" t="s">
        <v>192</v>
      </c>
      <c r="N9" s="188" t="s">
        <v>193</v>
      </c>
      <c r="AO9">
        <v>2019</v>
      </c>
    </row>
    <row r="10" spans="2:50" x14ac:dyDescent="0.3">
      <c r="B10" s="188" t="s">
        <v>194</v>
      </c>
      <c r="C10" s="189" t="s">
        <v>100</v>
      </c>
      <c r="D10" s="189" t="s">
        <v>101</v>
      </c>
      <c r="E10" s="189" t="s">
        <v>102</v>
      </c>
      <c r="F10" s="188" t="s">
        <v>188</v>
      </c>
      <c r="G10" s="188" t="s">
        <v>189</v>
      </c>
      <c r="H10" s="188" t="s">
        <v>190</v>
      </c>
      <c r="I10" s="188" t="s">
        <v>187</v>
      </c>
      <c r="J10" s="188" t="s">
        <v>186</v>
      </c>
      <c r="K10" s="188" t="s">
        <v>191</v>
      </c>
      <c r="L10" s="188" t="s">
        <v>192</v>
      </c>
      <c r="M10" s="188" t="s">
        <v>193</v>
      </c>
      <c r="N10" s="188" t="s">
        <v>194</v>
      </c>
      <c r="AO10">
        <v>2019</v>
      </c>
    </row>
    <row r="11" spans="2:50" x14ac:dyDescent="0.3">
      <c r="B11" s="188" t="s">
        <v>195</v>
      </c>
      <c r="C11" s="189" t="s">
        <v>101</v>
      </c>
      <c r="D11" s="189" t="s">
        <v>102</v>
      </c>
      <c r="E11" s="188" t="s">
        <v>188</v>
      </c>
      <c r="F11" s="188" t="s">
        <v>189</v>
      </c>
      <c r="G11" s="188" t="s">
        <v>190</v>
      </c>
      <c r="H11" s="188" t="s">
        <v>187</v>
      </c>
      <c r="I11" s="188" t="s">
        <v>186</v>
      </c>
      <c r="J11" s="188" t="s">
        <v>191</v>
      </c>
      <c r="K11" s="188" t="s">
        <v>192</v>
      </c>
      <c r="L11" s="188" t="s">
        <v>193</v>
      </c>
      <c r="M11" s="188" t="s">
        <v>194</v>
      </c>
      <c r="N11" s="188" t="s">
        <v>195</v>
      </c>
      <c r="AO11">
        <v>2019</v>
      </c>
    </row>
    <row r="12" spans="2:50" x14ac:dyDescent="0.3">
      <c r="B12" s="188" t="s">
        <v>196</v>
      </c>
      <c r="C12" s="189" t="s">
        <v>102</v>
      </c>
      <c r="D12" s="188" t="s">
        <v>188</v>
      </c>
      <c r="E12" s="188" t="s">
        <v>189</v>
      </c>
      <c r="F12" s="188" t="s">
        <v>190</v>
      </c>
      <c r="G12" s="188" t="s">
        <v>187</v>
      </c>
      <c r="H12" s="188" t="s">
        <v>186</v>
      </c>
      <c r="I12" s="188" t="s">
        <v>191</v>
      </c>
      <c r="J12" s="188" t="s">
        <v>192</v>
      </c>
      <c r="K12" s="188" t="s">
        <v>193</v>
      </c>
      <c r="L12" s="188" t="s">
        <v>194</v>
      </c>
      <c r="M12" s="188" t="s">
        <v>195</v>
      </c>
      <c r="N12" s="188" t="s">
        <v>196</v>
      </c>
      <c r="AO12">
        <v>2019</v>
      </c>
    </row>
    <row r="13" spans="2:50" x14ac:dyDescent="0.3">
      <c r="B13" s="188" t="s">
        <v>197</v>
      </c>
      <c r="C13" s="188" t="s">
        <v>188</v>
      </c>
      <c r="D13" s="188" t="s">
        <v>189</v>
      </c>
      <c r="E13" s="188" t="s">
        <v>190</v>
      </c>
      <c r="F13" s="188" t="s">
        <v>187</v>
      </c>
      <c r="G13" s="188" t="s">
        <v>186</v>
      </c>
      <c r="H13" s="188" t="s">
        <v>191</v>
      </c>
      <c r="I13" s="188" t="s">
        <v>192</v>
      </c>
      <c r="J13" s="188" t="s">
        <v>193</v>
      </c>
      <c r="K13" s="188" t="s">
        <v>194</v>
      </c>
      <c r="L13" s="188" t="s">
        <v>195</v>
      </c>
      <c r="M13" s="188" t="s">
        <v>196</v>
      </c>
      <c r="N13" s="188" t="s">
        <v>197</v>
      </c>
      <c r="AO13">
        <v>2019</v>
      </c>
    </row>
    <row r="14" spans="2:50" x14ac:dyDescent="0.3">
      <c r="B14" s="190" t="s">
        <v>203</v>
      </c>
      <c r="C14" s="188" t="s">
        <v>189</v>
      </c>
      <c r="D14" s="188" t="s">
        <v>190</v>
      </c>
      <c r="E14" s="188" t="s">
        <v>187</v>
      </c>
      <c r="F14" s="188" t="s">
        <v>186</v>
      </c>
      <c r="G14" s="188" t="s">
        <v>191</v>
      </c>
      <c r="H14" s="188" t="s">
        <v>192</v>
      </c>
      <c r="I14" s="188" t="s">
        <v>193</v>
      </c>
      <c r="J14" s="188" t="s">
        <v>194</v>
      </c>
      <c r="K14" s="188" t="s">
        <v>195</v>
      </c>
      <c r="L14" s="188" t="s">
        <v>196</v>
      </c>
      <c r="M14" s="188" t="s">
        <v>197</v>
      </c>
      <c r="N14" s="190" t="s">
        <v>203</v>
      </c>
      <c r="AO14">
        <v>2020</v>
      </c>
    </row>
    <row r="15" spans="2:50" x14ac:dyDescent="0.3">
      <c r="B15" s="190" t="s">
        <v>204</v>
      </c>
      <c r="C15" s="188" t="s">
        <v>190</v>
      </c>
      <c r="D15" s="188" t="s">
        <v>187</v>
      </c>
      <c r="E15" s="188" t="s">
        <v>186</v>
      </c>
      <c r="F15" s="188" t="s">
        <v>191</v>
      </c>
      <c r="G15" s="188" t="s">
        <v>192</v>
      </c>
      <c r="H15" s="188" t="s">
        <v>193</v>
      </c>
      <c r="I15" s="188" t="s">
        <v>194</v>
      </c>
      <c r="J15" s="188" t="s">
        <v>195</v>
      </c>
      <c r="K15" s="188" t="s">
        <v>196</v>
      </c>
      <c r="L15" s="188" t="s">
        <v>197</v>
      </c>
      <c r="M15" s="190" t="s">
        <v>203</v>
      </c>
      <c r="N15" s="190" t="s">
        <v>204</v>
      </c>
      <c r="AO15">
        <v>2020</v>
      </c>
    </row>
    <row r="16" spans="2:50" x14ac:dyDescent="0.3">
      <c r="B16" s="190" t="s">
        <v>205</v>
      </c>
      <c r="C16" s="188" t="s">
        <v>187</v>
      </c>
      <c r="D16" s="188" t="s">
        <v>186</v>
      </c>
      <c r="E16" s="188" t="s">
        <v>191</v>
      </c>
      <c r="F16" s="188" t="s">
        <v>192</v>
      </c>
      <c r="G16" s="188" t="s">
        <v>193</v>
      </c>
      <c r="H16" s="188" t="s">
        <v>194</v>
      </c>
      <c r="I16" s="188" t="s">
        <v>195</v>
      </c>
      <c r="J16" s="188" t="s">
        <v>196</v>
      </c>
      <c r="K16" s="188" t="s">
        <v>197</v>
      </c>
      <c r="L16" s="190" t="s">
        <v>203</v>
      </c>
      <c r="M16" s="190" t="s">
        <v>204</v>
      </c>
      <c r="N16" s="190" t="s">
        <v>205</v>
      </c>
      <c r="AO16">
        <v>2020</v>
      </c>
    </row>
    <row r="17" spans="2:41" x14ac:dyDescent="0.3">
      <c r="B17" s="190" t="s">
        <v>206</v>
      </c>
      <c r="C17" s="188" t="s">
        <v>186</v>
      </c>
      <c r="D17" s="188" t="s">
        <v>191</v>
      </c>
      <c r="E17" s="188" t="s">
        <v>192</v>
      </c>
      <c r="F17" s="188" t="s">
        <v>193</v>
      </c>
      <c r="G17" s="188" t="s">
        <v>194</v>
      </c>
      <c r="H17" s="188" t="s">
        <v>195</v>
      </c>
      <c r="I17" s="188" t="s">
        <v>196</v>
      </c>
      <c r="J17" s="188" t="s">
        <v>197</v>
      </c>
      <c r="K17" s="190" t="s">
        <v>203</v>
      </c>
      <c r="L17" s="190" t="s">
        <v>204</v>
      </c>
      <c r="M17" s="190" t="s">
        <v>205</v>
      </c>
      <c r="N17" s="190" t="s">
        <v>206</v>
      </c>
      <c r="AO17">
        <v>2020</v>
      </c>
    </row>
    <row r="18" spans="2:41" x14ac:dyDescent="0.3">
      <c r="B18" s="190" t="s">
        <v>207</v>
      </c>
      <c r="C18" s="188" t="s">
        <v>191</v>
      </c>
      <c r="D18" s="188" t="s">
        <v>192</v>
      </c>
      <c r="E18" s="188" t="s">
        <v>193</v>
      </c>
      <c r="F18" s="188" t="s">
        <v>194</v>
      </c>
      <c r="G18" s="188" t="s">
        <v>195</v>
      </c>
      <c r="H18" s="188" t="s">
        <v>196</v>
      </c>
      <c r="I18" s="188" t="s">
        <v>197</v>
      </c>
      <c r="J18" s="190" t="s">
        <v>203</v>
      </c>
      <c r="K18" s="190" t="s">
        <v>204</v>
      </c>
      <c r="L18" s="190" t="s">
        <v>205</v>
      </c>
      <c r="M18" s="190" t="s">
        <v>206</v>
      </c>
      <c r="N18" s="190" t="s">
        <v>207</v>
      </c>
      <c r="AO18">
        <v>2020</v>
      </c>
    </row>
    <row r="19" spans="2:41" x14ac:dyDescent="0.3">
      <c r="B19" s="190" t="s">
        <v>208</v>
      </c>
      <c r="C19" s="188" t="s">
        <v>192</v>
      </c>
      <c r="D19" s="188" t="s">
        <v>193</v>
      </c>
      <c r="E19" s="188" t="s">
        <v>194</v>
      </c>
      <c r="F19" s="188" t="s">
        <v>195</v>
      </c>
      <c r="G19" s="188" t="s">
        <v>196</v>
      </c>
      <c r="H19" s="188" t="s">
        <v>197</v>
      </c>
      <c r="I19" s="190" t="s">
        <v>203</v>
      </c>
      <c r="J19" s="190" t="s">
        <v>204</v>
      </c>
      <c r="K19" s="190" t="s">
        <v>205</v>
      </c>
      <c r="L19" s="190" t="s">
        <v>206</v>
      </c>
      <c r="M19" s="190" t="s">
        <v>207</v>
      </c>
      <c r="N19" s="190" t="s">
        <v>208</v>
      </c>
      <c r="AO19">
        <v>2020</v>
      </c>
    </row>
    <row r="20" spans="2:41" x14ac:dyDescent="0.3">
      <c r="B20" s="190" t="s">
        <v>209</v>
      </c>
      <c r="C20" s="188" t="s">
        <v>193</v>
      </c>
      <c r="D20" s="188" t="s">
        <v>194</v>
      </c>
      <c r="E20" s="188" t="s">
        <v>195</v>
      </c>
      <c r="F20" s="188" t="s">
        <v>196</v>
      </c>
      <c r="G20" s="188" t="s">
        <v>197</v>
      </c>
      <c r="H20" s="190" t="s">
        <v>203</v>
      </c>
      <c r="I20" s="190" t="s">
        <v>204</v>
      </c>
      <c r="J20" s="190" t="s">
        <v>205</v>
      </c>
      <c r="K20" s="190" t="s">
        <v>206</v>
      </c>
      <c r="L20" s="190" t="s">
        <v>207</v>
      </c>
      <c r="M20" s="190" t="s">
        <v>208</v>
      </c>
      <c r="N20" s="190" t="s">
        <v>209</v>
      </c>
      <c r="AO20">
        <v>2020</v>
      </c>
    </row>
    <row r="21" spans="2:41" x14ac:dyDescent="0.3">
      <c r="B21" s="190" t="s">
        <v>210</v>
      </c>
      <c r="C21" s="188" t="s">
        <v>194</v>
      </c>
      <c r="D21" s="188" t="s">
        <v>195</v>
      </c>
      <c r="E21" s="188" t="s">
        <v>196</v>
      </c>
      <c r="F21" s="188" t="s">
        <v>197</v>
      </c>
      <c r="G21" s="190" t="s">
        <v>203</v>
      </c>
      <c r="H21" s="190" t="s">
        <v>204</v>
      </c>
      <c r="I21" s="190" t="s">
        <v>205</v>
      </c>
      <c r="J21" s="190" t="s">
        <v>206</v>
      </c>
      <c r="K21" s="190" t="s">
        <v>207</v>
      </c>
      <c r="L21" s="190" t="s">
        <v>208</v>
      </c>
      <c r="M21" s="190" t="s">
        <v>209</v>
      </c>
      <c r="N21" s="190" t="s">
        <v>210</v>
      </c>
      <c r="AO21">
        <v>2020</v>
      </c>
    </row>
    <row r="22" spans="2:41" x14ac:dyDescent="0.3">
      <c r="B22" s="190" t="s">
        <v>211</v>
      </c>
      <c r="C22" s="188" t="s">
        <v>195</v>
      </c>
      <c r="D22" s="188" t="s">
        <v>196</v>
      </c>
      <c r="E22" s="188" t="s">
        <v>197</v>
      </c>
      <c r="F22" s="190" t="s">
        <v>203</v>
      </c>
      <c r="G22" s="190" t="s">
        <v>204</v>
      </c>
      <c r="H22" s="190" t="s">
        <v>205</v>
      </c>
      <c r="I22" s="190" t="s">
        <v>206</v>
      </c>
      <c r="J22" s="190" t="s">
        <v>207</v>
      </c>
      <c r="K22" s="190" t="s">
        <v>208</v>
      </c>
      <c r="L22" s="190" t="s">
        <v>209</v>
      </c>
      <c r="M22" s="190" t="s">
        <v>210</v>
      </c>
      <c r="N22" s="190" t="s">
        <v>211</v>
      </c>
      <c r="AO22">
        <v>2020</v>
      </c>
    </row>
    <row r="23" spans="2:41" x14ac:dyDescent="0.3">
      <c r="B23" s="190" t="s">
        <v>212</v>
      </c>
      <c r="C23" s="188" t="s">
        <v>196</v>
      </c>
      <c r="D23" s="188" t="s">
        <v>197</v>
      </c>
      <c r="E23" s="190" t="s">
        <v>203</v>
      </c>
      <c r="F23" s="190" t="s">
        <v>204</v>
      </c>
      <c r="G23" s="190" t="s">
        <v>205</v>
      </c>
      <c r="H23" s="190" t="s">
        <v>206</v>
      </c>
      <c r="I23" s="190" t="s">
        <v>207</v>
      </c>
      <c r="J23" s="190" t="s">
        <v>208</v>
      </c>
      <c r="K23" s="190" t="s">
        <v>209</v>
      </c>
      <c r="L23" s="190" t="s">
        <v>210</v>
      </c>
      <c r="M23" s="190" t="s">
        <v>211</v>
      </c>
      <c r="N23" s="190" t="s">
        <v>212</v>
      </c>
      <c r="AO23">
        <v>2020</v>
      </c>
    </row>
    <row r="24" spans="2:41" x14ac:dyDescent="0.3">
      <c r="B24" s="190" t="s">
        <v>213</v>
      </c>
      <c r="C24" s="188" t="s">
        <v>197</v>
      </c>
      <c r="D24" s="190" t="s">
        <v>203</v>
      </c>
      <c r="E24" s="190" t="s">
        <v>204</v>
      </c>
      <c r="F24" s="190" t="s">
        <v>205</v>
      </c>
      <c r="G24" s="190" t="s">
        <v>206</v>
      </c>
      <c r="H24" s="190" t="s">
        <v>207</v>
      </c>
      <c r="I24" s="190" t="s">
        <v>208</v>
      </c>
      <c r="J24" s="190" t="s">
        <v>209</v>
      </c>
      <c r="K24" s="190" t="s">
        <v>210</v>
      </c>
      <c r="L24" s="190" t="s">
        <v>211</v>
      </c>
      <c r="M24" s="190" t="s">
        <v>212</v>
      </c>
      <c r="N24" s="190" t="s">
        <v>213</v>
      </c>
      <c r="AO24">
        <v>2020</v>
      </c>
    </row>
    <row r="25" spans="2:41" x14ac:dyDescent="0.3">
      <c r="B25" s="190" t="s">
        <v>214</v>
      </c>
      <c r="C25" s="190" t="s">
        <v>203</v>
      </c>
      <c r="D25" s="190" t="s">
        <v>204</v>
      </c>
      <c r="E25" s="190" t="s">
        <v>205</v>
      </c>
      <c r="F25" s="190" t="s">
        <v>206</v>
      </c>
      <c r="G25" s="190" t="s">
        <v>207</v>
      </c>
      <c r="H25" s="190" t="s">
        <v>208</v>
      </c>
      <c r="I25" s="190" t="s">
        <v>209</v>
      </c>
      <c r="J25" s="190" t="s">
        <v>210</v>
      </c>
      <c r="K25" s="190" t="s">
        <v>211</v>
      </c>
      <c r="L25" s="190" t="s">
        <v>212</v>
      </c>
      <c r="M25" s="190" t="s">
        <v>213</v>
      </c>
      <c r="N25" s="190" t="s">
        <v>214</v>
      </c>
      <c r="AO25">
        <v>2020</v>
      </c>
    </row>
    <row r="26" spans="2:41" x14ac:dyDescent="0.3">
      <c r="B26" s="191" t="s">
        <v>220</v>
      </c>
      <c r="C26" s="190" t="s">
        <v>204</v>
      </c>
      <c r="D26" s="190" t="s">
        <v>205</v>
      </c>
      <c r="E26" s="190" t="s">
        <v>206</v>
      </c>
      <c r="F26" s="190" t="s">
        <v>207</v>
      </c>
      <c r="G26" s="190" t="s">
        <v>208</v>
      </c>
      <c r="H26" s="190" t="s">
        <v>209</v>
      </c>
      <c r="I26" s="190" t="s">
        <v>210</v>
      </c>
      <c r="J26" s="190" t="s">
        <v>211</v>
      </c>
      <c r="K26" s="190" t="s">
        <v>212</v>
      </c>
      <c r="L26" s="190" t="s">
        <v>213</v>
      </c>
      <c r="M26" s="190" t="s">
        <v>214</v>
      </c>
      <c r="N26" s="191" t="s">
        <v>220</v>
      </c>
      <c r="AO26">
        <v>2022</v>
      </c>
    </row>
    <row r="27" spans="2:41" x14ac:dyDescent="0.3">
      <c r="B27" s="191" t="s">
        <v>221</v>
      </c>
      <c r="C27" s="190" t="s">
        <v>205</v>
      </c>
      <c r="D27" s="190" t="s">
        <v>206</v>
      </c>
      <c r="E27" s="190" t="s">
        <v>207</v>
      </c>
      <c r="F27" s="190" t="s">
        <v>208</v>
      </c>
      <c r="G27" s="190" t="s">
        <v>209</v>
      </c>
      <c r="H27" s="190" t="s">
        <v>210</v>
      </c>
      <c r="I27" s="190" t="s">
        <v>211</v>
      </c>
      <c r="J27" s="190" t="s">
        <v>212</v>
      </c>
      <c r="K27" s="190" t="s">
        <v>213</v>
      </c>
      <c r="L27" s="190" t="s">
        <v>214</v>
      </c>
      <c r="M27" s="191" t="s">
        <v>220</v>
      </c>
      <c r="N27" s="191" t="s">
        <v>221</v>
      </c>
      <c r="AO27">
        <v>2022</v>
      </c>
    </row>
    <row r="28" spans="2:41" x14ac:dyDescent="0.3">
      <c r="B28" s="191" t="s">
        <v>222</v>
      </c>
      <c r="C28" s="190" t="s">
        <v>206</v>
      </c>
      <c r="D28" s="190" t="s">
        <v>207</v>
      </c>
      <c r="E28" s="190" t="s">
        <v>208</v>
      </c>
      <c r="F28" s="190" t="s">
        <v>209</v>
      </c>
      <c r="G28" s="190" t="s">
        <v>210</v>
      </c>
      <c r="H28" s="190" t="s">
        <v>211</v>
      </c>
      <c r="I28" s="190" t="s">
        <v>212</v>
      </c>
      <c r="J28" s="190" t="s">
        <v>213</v>
      </c>
      <c r="K28" s="190" t="s">
        <v>214</v>
      </c>
      <c r="L28" s="191" t="s">
        <v>220</v>
      </c>
      <c r="M28" s="191" t="s">
        <v>221</v>
      </c>
      <c r="N28" s="191" t="s">
        <v>222</v>
      </c>
      <c r="AO28">
        <v>2022</v>
      </c>
    </row>
    <row r="29" spans="2:41" x14ac:dyDescent="0.3">
      <c r="B29" s="191" t="s">
        <v>223</v>
      </c>
      <c r="C29" s="190" t="s">
        <v>207</v>
      </c>
      <c r="D29" s="190" t="s">
        <v>208</v>
      </c>
      <c r="E29" s="190" t="s">
        <v>209</v>
      </c>
      <c r="F29" s="190" t="s">
        <v>210</v>
      </c>
      <c r="G29" s="190" t="s">
        <v>211</v>
      </c>
      <c r="H29" s="190" t="s">
        <v>212</v>
      </c>
      <c r="I29" s="190" t="s">
        <v>213</v>
      </c>
      <c r="J29" s="190" t="s">
        <v>214</v>
      </c>
      <c r="K29" s="191" t="s">
        <v>220</v>
      </c>
      <c r="L29" s="191" t="s">
        <v>221</v>
      </c>
      <c r="M29" s="191" t="s">
        <v>222</v>
      </c>
      <c r="N29" s="191" t="s">
        <v>223</v>
      </c>
      <c r="AO29">
        <v>2022</v>
      </c>
    </row>
    <row r="30" spans="2:41" x14ac:dyDescent="0.3">
      <c r="B30" s="191" t="s">
        <v>224</v>
      </c>
      <c r="C30" s="190" t="s">
        <v>208</v>
      </c>
      <c r="D30" s="190" t="s">
        <v>209</v>
      </c>
      <c r="E30" s="190" t="s">
        <v>210</v>
      </c>
      <c r="F30" s="190" t="s">
        <v>211</v>
      </c>
      <c r="G30" s="190" t="s">
        <v>212</v>
      </c>
      <c r="H30" s="190" t="s">
        <v>213</v>
      </c>
      <c r="I30" s="190" t="s">
        <v>214</v>
      </c>
      <c r="J30" s="191" t="s">
        <v>220</v>
      </c>
      <c r="K30" s="191" t="s">
        <v>221</v>
      </c>
      <c r="L30" s="191" t="s">
        <v>222</v>
      </c>
      <c r="M30" s="191" t="s">
        <v>223</v>
      </c>
      <c r="N30" s="191" t="s">
        <v>224</v>
      </c>
      <c r="AO30">
        <v>2022</v>
      </c>
    </row>
    <row r="31" spans="2:41" x14ac:dyDescent="0.3">
      <c r="B31" s="191" t="s">
        <v>225</v>
      </c>
      <c r="C31" s="190" t="s">
        <v>209</v>
      </c>
      <c r="D31" s="190" t="s">
        <v>210</v>
      </c>
      <c r="E31" s="190" t="s">
        <v>211</v>
      </c>
      <c r="F31" s="190" t="s">
        <v>212</v>
      </c>
      <c r="G31" s="190" t="s">
        <v>213</v>
      </c>
      <c r="H31" s="190" t="s">
        <v>214</v>
      </c>
      <c r="I31" s="191" t="s">
        <v>220</v>
      </c>
      <c r="J31" s="191" t="s">
        <v>221</v>
      </c>
      <c r="K31" s="191" t="s">
        <v>222</v>
      </c>
      <c r="L31" s="191" t="s">
        <v>223</v>
      </c>
      <c r="M31" s="191" t="s">
        <v>224</v>
      </c>
      <c r="N31" s="191" t="s">
        <v>225</v>
      </c>
      <c r="AO31">
        <v>2022</v>
      </c>
    </row>
    <row r="32" spans="2:41" x14ac:dyDescent="0.3">
      <c r="B32" s="191" t="s">
        <v>226</v>
      </c>
      <c r="C32" s="190" t="s">
        <v>210</v>
      </c>
      <c r="D32" s="190" t="s">
        <v>211</v>
      </c>
      <c r="E32" s="190" t="s">
        <v>212</v>
      </c>
      <c r="F32" s="190" t="s">
        <v>213</v>
      </c>
      <c r="G32" s="190" t="s">
        <v>214</v>
      </c>
      <c r="H32" s="191" t="s">
        <v>220</v>
      </c>
      <c r="I32" s="191" t="s">
        <v>221</v>
      </c>
      <c r="J32" s="191" t="s">
        <v>222</v>
      </c>
      <c r="K32" s="191" t="s">
        <v>223</v>
      </c>
      <c r="L32" s="191" t="s">
        <v>224</v>
      </c>
      <c r="M32" s="191" t="s">
        <v>225</v>
      </c>
      <c r="N32" s="191" t="s">
        <v>226</v>
      </c>
      <c r="AO32">
        <v>2022</v>
      </c>
    </row>
    <row r="33" spans="2:41" x14ac:dyDescent="0.3">
      <c r="B33" s="191" t="s">
        <v>227</v>
      </c>
      <c r="C33" s="190" t="s">
        <v>211</v>
      </c>
      <c r="D33" s="190" t="s">
        <v>212</v>
      </c>
      <c r="E33" s="190" t="s">
        <v>213</v>
      </c>
      <c r="F33" s="190" t="s">
        <v>214</v>
      </c>
      <c r="G33" s="191" t="s">
        <v>220</v>
      </c>
      <c r="H33" s="191" t="s">
        <v>221</v>
      </c>
      <c r="I33" s="191" t="s">
        <v>222</v>
      </c>
      <c r="J33" s="191" t="s">
        <v>223</v>
      </c>
      <c r="K33" s="191" t="s">
        <v>224</v>
      </c>
      <c r="L33" s="191" t="s">
        <v>225</v>
      </c>
      <c r="M33" s="191" t="s">
        <v>226</v>
      </c>
      <c r="N33" s="191" t="s">
        <v>227</v>
      </c>
      <c r="AO33">
        <v>2022</v>
      </c>
    </row>
    <row r="34" spans="2:41" x14ac:dyDescent="0.3">
      <c r="B34" s="191" t="s">
        <v>228</v>
      </c>
      <c r="C34" s="190" t="s">
        <v>212</v>
      </c>
      <c r="D34" s="190" t="s">
        <v>213</v>
      </c>
      <c r="E34" s="190" t="s">
        <v>214</v>
      </c>
      <c r="F34" s="191" t="s">
        <v>220</v>
      </c>
      <c r="G34" s="191" t="s">
        <v>221</v>
      </c>
      <c r="H34" s="191" t="s">
        <v>222</v>
      </c>
      <c r="I34" s="191" t="s">
        <v>223</v>
      </c>
      <c r="J34" s="191" t="s">
        <v>224</v>
      </c>
      <c r="K34" s="191" t="s">
        <v>225</v>
      </c>
      <c r="L34" s="191" t="s">
        <v>226</v>
      </c>
      <c r="M34" s="191" t="s">
        <v>227</v>
      </c>
      <c r="N34" s="191" t="s">
        <v>228</v>
      </c>
      <c r="AO34">
        <v>2022</v>
      </c>
    </row>
    <row r="35" spans="2:41" x14ac:dyDescent="0.3">
      <c r="B35" s="191" t="s">
        <v>231</v>
      </c>
      <c r="C35" s="190" t="s">
        <v>213</v>
      </c>
      <c r="D35" s="190" t="s">
        <v>214</v>
      </c>
      <c r="E35" s="191" t="s">
        <v>220</v>
      </c>
      <c r="F35" s="191" t="s">
        <v>221</v>
      </c>
      <c r="G35" s="191" t="s">
        <v>222</v>
      </c>
      <c r="H35" s="191" t="s">
        <v>223</v>
      </c>
      <c r="I35" s="191" t="s">
        <v>224</v>
      </c>
      <c r="J35" s="191" t="s">
        <v>225</v>
      </c>
      <c r="K35" s="191" t="s">
        <v>226</v>
      </c>
      <c r="L35" s="191" t="s">
        <v>227</v>
      </c>
      <c r="M35" s="191" t="s">
        <v>228</v>
      </c>
      <c r="N35" s="191" t="s">
        <v>231</v>
      </c>
      <c r="AO35">
        <v>2022</v>
      </c>
    </row>
    <row r="36" spans="2:41" x14ac:dyDescent="0.3">
      <c r="B36" s="191" t="s">
        <v>229</v>
      </c>
      <c r="C36" s="190" t="s">
        <v>214</v>
      </c>
      <c r="D36" s="191" t="s">
        <v>220</v>
      </c>
      <c r="E36" s="191" t="s">
        <v>221</v>
      </c>
      <c r="F36" s="191" t="s">
        <v>222</v>
      </c>
      <c r="G36" s="191" t="s">
        <v>223</v>
      </c>
      <c r="H36" s="191" t="s">
        <v>224</v>
      </c>
      <c r="I36" s="191" t="s">
        <v>225</v>
      </c>
      <c r="J36" s="191" t="s">
        <v>226</v>
      </c>
      <c r="K36" s="191" t="s">
        <v>227</v>
      </c>
      <c r="L36" s="191" t="s">
        <v>228</v>
      </c>
      <c r="M36" s="191" t="s">
        <v>231</v>
      </c>
      <c r="N36" s="191" t="s">
        <v>229</v>
      </c>
      <c r="AO36">
        <v>2022</v>
      </c>
    </row>
    <row r="37" spans="2:41" x14ac:dyDescent="0.3">
      <c r="B37" s="191" t="s">
        <v>230</v>
      </c>
      <c r="C37" s="191" t="s">
        <v>220</v>
      </c>
      <c r="D37" s="191" t="s">
        <v>221</v>
      </c>
      <c r="E37" s="191" t="s">
        <v>222</v>
      </c>
      <c r="F37" s="191" t="s">
        <v>223</v>
      </c>
      <c r="G37" s="191" t="s">
        <v>224</v>
      </c>
      <c r="H37" s="191" t="s">
        <v>225</v>
      </c>
      <c r="I37" s="191" t="s">
        <v>226</v>
      </c>
      <c r="J37" s="191" t="s">
        <v>227</v>
      </c>
      <c r="K37" s="191" t="s">
        <v>228</v>
      </c>
      <c r="L37" s="191" t="s">
        <v>231</v>
      </c>
      <c r="M37" s="191" t="s">
        <v>229</v>
      </c>
      <c r="N37" s="191" t="s">
        <v>230</v>
      </c>
      <c r="AO37">
        <v>2022</v>
      </c>
    </row>
  </sheetData>
  <sheetProtection algorithmName="SHA-512" hashValue="EcVa6bEh7k6V1qfI0P/DzhbZv1lDYAqhFDurxuyFmWi+Citf7ZpN5neUJjtNRyaq8KFaoanZFaN3cnnzEgjKxg==" saltValue="ElRkqHjJu5vX+wOgGK3xlA==" spinCount="100000" sheet="1" objects="1" scenarios="1"/>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1-Instructions</vt:lpstr>
      <vt:lpstr>2-Data Input &amp; Assumptions</vt:lpstr>
      <vt:lpstr>3-Cash Flow Chart</vt:lpstr>
      <vt:lpstr>4-Forecast Indicators</vt:lpstr>
      <vt:lpstr>5-Standalone Chart</vt:lpstr>
      <vt:lpstr>5-FY Table</vt:lpstr>
      <vt:lpstr>'1-Instructions'!Print_Area</vt:lpstr>
      <vt:lpstr>'2-Data Input &amp; Assumptions'!Print_Titles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Simplified Monthly Cash Flow Model</dc:title>
  <dc:subject>Simplified Monthly Cash Flow Model</dc:subject>
  <dc:creator>Chris Swanson</dc:creator>
  <cp:lastModifiedBy>Chris Swanson</cp:lastModifiedBy>
  <cp:lastPrinted>2020-08-07T18:14:42Z</cp:lastPrinted>
  <dcterms:created xsi:type="dcterms:W3CDTF">2016-07-13T17:11:33Z</dcterms:created>
  <dcterms:modified xsi:type="dcterms:W3CDTF">2021-01-05T16:27:41Z</dcterms:modified>
  <cp:contentStatus>DEMONSTRATION MODEL</cp:contentStatus>
</cp:coreProperties>
</file>