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comments5.xml" ContentType="application/vnd.openxmlformats-officedocument.spreadsheetml.comments+xml"/>
  <Override PartName="/xl/threadedComments/threadedComment3.xml" ContentType="application/vnd.ms-excel.threadedcomments+xml"/>
  <Override PartName="/xl/comments6.xml" ContentType="application/vnd.openxmlformats-officedocument.spreadsheetml.comments+xml"/>
  <Override PartName="/xl/threadedComments/threadedComment4.xml" ContentType="application/vnd.ms-excel.threadedcomments+xml"/>
  <Override PartName="/xl/comments7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backupFile="1"/>
  <mc:AlternateContent xmlns:mc="http://schemas.openxmlformats.org/markup-compatibility/2006">
    <mc:Choice Requires="x15">
      <x15ac:absPath xmlns:x15ac="http://schemas.microsoft.com/office/spreadsheetml/2010/11/ac" url="https://gfoaorg-my.sharepoint.com/personal/mlevine_gfoa_org/Documents/Documents/TSC Operations/COA Award/Technical Issues/Chicago Sale of Future Revenue/"/>
    </mc:Choice>
  </mc:AlternateContent>
  <xr:revisionPtr revIDLastSave="1313" documentId="8_{FB81044B-C829-4C78-8DA1-AF378EEED1A6}" xr6:coauthVersionLast="47" xr6:coauthVersionMax="47" xr10:uidLastSave="{8149E7DA-9FEF-4D01-B525-9814A6EF3CCF}"/>
  <bookViews>
    <workbookView xWindow="-120" yWindow="-120" windowWidth="24240" windowHeight="13140" firstSheet="11" activeTab="14" xr2:uid="{A9462F2D-10E9-44FC-BAD4-D0808E91DC0B}"/>
    <workbookView xWindow="23880" yWindow="-120" windowWidth="24240" windowHeight="13140" firstSheet="7" activeTab="11" xr2:uid="{9DB11BAA-A280-42D4-B873-DA0CCF0D0F95}"/>
  </bookViews>
  <sheets>
    <sheet name="Overview" sheetId="18" r:id="rId1"/>
    <sheet name="Example 1 Assumptions " sheetId="8" r:id="rId2"/>
    <sheet name="Ex. 1 Amortization table" sheetId="1" r:id="rId3"/>
    <sheet name="Ex. 1 Entries" sheetId="2" r:id="rId4"/>
    <sheet name="Example 2 Assumptions " sheetId="7" r:id="rId5"/>
    <sheet name="Ex. 2 Amortization table" sheetId="4" r:id="rId6"/>
    <sheet name="Ex. 2 Entries -City" sheetId="14" r:id="rId7"/>
    <sheet name="Ex. 2 Entries - Corp" sheetId="5" r:id="rId8"/>
    <sheet name="Ex. 2 T-accounts" sheetId="21" r:id="rId9"/>
    <sheet name="Example 3 Assumptions " sheetId="11" r:id="rId10"/>
    <sheet name="Ex. 3 Amortization table" sheetId="16" r:id="rId11"/>
    <sheet name="Ex. 3 Entries -County" sheetId="23" r:id="rId12"/>
    <sheet name="Ex. 3 Entries -CESAS" sheetId="26" r:id="rId13"/>
    <sheet name="Ex. 3 T-accounts" sheetId="22" r:id="rId14"/>
    <sheet name="Ex.3 20X1 Financial statements " sheetId="2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1" l="1"/>
  <c r="I80" i="28"/>
  <c r="W80" i="28"/>
  <c r="N24" i="28" l="1"/>
  <c r="N19" i="28"/>
  <c r="N15" i="28"/>
  <c r="N11" i="28"/>
  <c r="N12" i="28"/>
  <c r="N10" i="28"/>
  <c r="R48" i="28"/>
  <c r="N41" i="28"/>
  <c r="N40" i="28"/>
  <c r="N38" i="28"/>
  <c r="N35" i="28"/>
  <c r="N34" i="28"/>
  <c r="N25" i="28"/>
  <c r="L20" i="28"/>
  <c r="Y72" i="28"/>
  <c r="W72" i="28"/>
  <c r="T72" i="28"/>
  <c r="R72" i="28"/>
  <c r="AA67" i="28"/>
  <c r="N74" i="28"/>
  <c r="AA61" i="28"/>
  <c r="F25" i="28"/>
  <c r="D21" i="28"/>
  <c r="N48" i="28"/>
  <c r="I48" i="28"/>
  <c r="I47" i="28"/>
  <c r="I49" i="28" s="1"/>
  <c r="Y64" i="28"/>
  <c r="L64" i="28"/>
  <c r="F64" i="28"/>
  <c r="F93" i="28"/>
  <c r="N97" i="28" l="1"/>
  <c r="Y94" i="28"/>
  <c r="T94" i="28"/>
  <c r="R94" i="28"/>
  <c r="F94" i="28"/>
  <c r="I62" i="28"/>
  <c r="N62" i="28" s="1"/>
  <c r="I63" i="28"/>
  <c r="N63" i="28" s="1"/>
  <c r="F31" i="28"/>
  <c r="D31" i="28"/>
  <c r="I42" i="28"/>
  <c r="N36" i="28"/>
  <c r="I36" i="28"/>
  <c r="W67" i="28"/>
  <c r="Y67" i="28"/>
  <c r="T67" i="28"/>
  <c r="K31" i="28"/>
  <c r="R67" i="28"/>
  <c r="L67" i="28"/>
  <c r="F67" i="28"/>
  <c r="T80" i="28"/>
  <c r="F80" i="28"/>
  <c r="T57" i="28"/>
  <c r="D75" i="28"/>
  <c r="D29" i="28"/>
  <c r="D30" i="28"/>
  <c r="D56" i="28"/>
  <c r="R56" i="28"/>
  <c r="C69" i="28"/>
  <c r="W97" i="28"/>
  <c r="D48" i="28" s="1"/>
  <c r="W93" i="28"/>
  <c r="D44" i="28" s="1"/>
  <c r="D45" i="28" s="1"/>
  <c r="T91" i="28"/>
  <c r="W90" i="28"/>
  <c r="D41" i="28" s="1"/>
  <c r="Y91" i="28"/>
  <c r="W89" i="28"/>
  <c r="W88" i="28"/>
  <c r="D39" i="28" s="1"/>
  <c r="R91" i="28"/>
  <c r="Y85" i="28"/>
  <c r="L85" i="28"/>
  <c r="F85" i="28"/>
  <c r="R85" i="28"/>
  <c r="Y75" i="28"/>
  <c r="N75" i="28"/>
  <c r="L75" i="28"/>
  <c r="I75" i="28"/>
  <c r="F75" i="28"/>
  <c r="AA71" i="28"/>
  <c r="AA72" i="28" s="1"/>
  <c r="L35" i="28"/>
  <c r="R35" i="28" s="1"/>
  <c r="B32" i="28"/>
  <c r="D16" i="28"/>
  <c r="N13" i="28"/>
  <c r="K11" i="28"/>
  <c r="K10" i="28"/>
  <c r="B8" i="28"/>
  <c r="K7" i="28"/>
  <c r="N6" i="28"/>
  <c r="N30" i="28" s="1"/>
  <c r="B5" i="28"/>
  <c r="AA89" i="28" l="1"/>
  <c r="D40" i="28"/>
  <c r="Y76" i="28"/>
  <c r="W94" i="28"/>
  <c r="T75" i="28"/>
  <c r="T85" i="28"/>
  <c r="T98" i="28" s="1"/>
  <c r="N16" i="28"/>
  <c r="L41" i="28"/>
  <c r="R41" i="28" s="1"/>
  <c r="AA90" i="28"/>
  <c r="R96" i="28"/>
  <c r="R98" i="28" s="1"/>
  <c r="F48" i="28"/>
  <c r="AA88" i="28"/>
  <c r="Y96" i="28"/>
  <c r="AA97" i="28"/>
  <c r="AA93" i="28"/>
  <c r="AA94" i="28" s="1"/>
  <c r="W83" i="28"/>
  <c r="D34" i="28" s="1"/>
  <c r="W87" i="28"/>
  <c r="D38" i="28" s="1"/>
  <c r="F90" i="28"/>
  <c r="I90" i="28" s="1"/>
  <c r="F41" i="28" s="1"/>
  <c r="N90" i="28" l="1"/>
  <c r="L48" i="28"/>
  <c r="W85" i="28"/>
  <c r="AA83" i="28"/>
  <c r="F91" i="28"/>
  <c r="F96" i="28" s="1"/>
  <c r="F98" i="28" s="1"/>
  <c r="AA87" i="28"/>
  <c r="W91" i="28"/>
  <c r="Y98" i="28"/>
  <c r="W96" i="28" l="1"/>
  <c r="D47" i="28" s="1"/>
  <c r="AA85" i="28"/>
  <c r="D36" i="28"/>
  <c r="D42" i="28"/>
  <c r="AA91" i="28"/>
  <c r="W98" i="28" l="1"/>
  <c r="D49" i="28"/>
  <c r="AA96" i="28"/>
  <c r="AA98" i="28" l="1"/>
  <c r="L119" i="26" l="1"/>
  <c r="L34" i="26"/>
  <c r="N99" i="26"/>
  <c r="L99" i="26"/>
  <c r="L110" i="26"/>
  <c r="M109" i="26"/>
  <c r="G114" i="26"/>
  <c r="B108" i="26"/>
  <c r="L108" i="26" s="1"/>
  <c r="L124" i="26"/>
  <c r="L123" i="26"/>
  <c r="M122" i="26"/>
  <c r="M121" i="26"/>
  <c r="M120" i="26"/>
  <c r="L116" i="26"/>
  <c r="M115" i="26"/>
  <c r="L114" i="26"/>
  <c r="L104" i="26"/>
  <c r="L103" i="26"/>
  <c r="M102" i="26"/>
  <c r="M101" i="26"/>
  <c r="M100" i="26"/>
  <c r="L95" i="26"/>
  <c r="M94" i="26"/>
  <c r="L93" i="26"/>
  <c r="B37" i="26"/>
  <c r="B58" i="26" s="1"/>
  <c r="M18" i="26"/>
  <c r="E18" i="26"/>
  <c r="C33" i="23"/>
  <c r="C41" i="23" s="1"/>
  <c r="C25" i="23"/>
  <c r="C16" i="23"/>
  <c r="D8" i="23"/>
  <c r="O6" i="22" s="1"/>
  <c r="W129" i="22"/>
  <c r="Z118" i="22"/>
  <c r="Z117" i="22"/>
  <c r="Z116" i="22"/>
  <c r="Z115" i="22"/>
  <c r="Z114" i="22"/>
  <c r="Z113" i="22"/>
  <c r="Z112" i="22"/>
  <c r="Z111" i="22"/>
  <c r="Z110" i="22"/>
  <c r="Z109" i="22"/>
  <c r="Z108" i="22"/>
  <c r="Z107" i="22"/>
  <c r="Z106" i="22"/>
  <c r="Z105" i="22"/>
  <c r="Z129" i="22" s="1"/>
  <c r="D11" i="4"/>
  <c r="L170" i="26"/>
  <c r="M168" i="26"/>
  <c r="M167" i="26"/>
  <c r="L166" i="26"/>
  <c r="L161" i="26"/>
  <c r="M162" i="26"/>
  <c r="L163" i="26"/>
  <c r="L158" i="26"/>
  <c r="L156" i="26"/>
  <c r="L152" i="26"/>
  <c r="M151" i="26"/>
  <c r="L150" i="26"/>
  <c r="L146" i="26"/>
  <c r="L145" i="26"/>
  <c r="L141" i="26"/>
  <c r="C142" i="26"/>
  <c r="M142" i="26" s="1"/>
  <c r="C143" i="26"/>
  <c r="M143" i="26" s="1"/>
  <c r="C144" i="26"/>
  <c r="M144" i="26" s="1"/>
  <c r="C137" i="26"/>
  <c r="M137" i="26" s="1"/>
  <c r="D10" i="26"/>
  <c r="D9" i="26"/>
  <c r="L138" i="26"/>
  <c r="L136" i="26"/>
  <c r="L130" i="26"/>
  <c r="M131" i="26"/>
  <c r="L132" i="26"/>
  <c r="L83" i="26"/>
  <c r="L82" i="26"/>
  <c r="M81" i="26"/>
  <c r="M80" i="26"/>
  <c r="M79" i="26"/>
  <c r="L75" i="26"/>
  <c r="M74" i="26"/>
  <c r="L73" i="26"/>
  <c r="L47" i="26"/>
  <c r="L67" i="26" s="1"/>
  <c r="L87" i="26" s="1"/>
  <c r="M48" i="26"/>
  <c r="M68" i="26" s="1"/>
  <c r="M88" i="26" s="1"/>
  <c r="L49" i="26"/>
  <c r="L69" i="26" s="1"/>
  <c r="L89" i="26" s="1"/>
  <c r="C68" i="26"/>
  <c r="C88" i="26" s="1"/>
  <c r="C109" i="26" s="1"/>
  <c r="B67" i="26"/>
  <c r="B87" i="26" s="1"/>
  <c r="L63" i="26"/>
  <c r="L62" i="26"/>
  <c r="M61" i="26"/>
  <c r="M60" i="26"/>
  <c r="M59" i="26"/>
  <c r="L55" i="26"/>
  <c r="L53" i="26"/>
  <c r="C54" i="26"/>
  <c r="M54" i="26" s="1"/>
  <c r="B53" i="26"/>
  <c r="H55" i="26" s="1"/>
  <c r="B52" i="26"/>
  <c r="H54" i="26" s="1"/>
  <c r="L41" i="26"/>
  <c r="L42" i="26"/>
  <c r="M40" i="26"/>
  <c r="M39" i="26"/>
  <c r="M38" i="26"/>
  <c r="M33" i="26"/>
  <c r="L32" i="26"/>
  <c r="H34" i="26"/>
  <c r="H33" i="26"/>
  <c r="G31" i="26"/>
  <c r="G52" i="26" s="1"/>
  <c r="L28" i="26"/>
  <c r="L26" i="26"/>
  <c r="M27" i="26"/>
  <c r="L16" i="26"/>
  <c r="L17" i="26"/>
  <c r="M19" i="26"/>
  <c r="L20" i="26"/>
  <c r="L21" i="26"/>
  <c r="L22" i="26"/>
  <c r="M11" i="26"/>
  <c r="L9" i="26"/>
  <c r="L10" i="26"/>
  <c r="L8" i="26"/>
  <c r="G11" i="26"/>
  <c r="G8" i="26"/>
  <c r="G10" i="26"/>
  <c r="AS6" i="22" l="1"/>
  <c r="O37" i="22"/>
  <c r="O18" i="26"/>
  <c r="B78" i="26"/>
  <c r="B141" i="26" s="1"/>
  <c r="L58" i="26"/>
  <c r="L37" i="26"/>
  <c r="Z130" i="22"/>
  <c r="AS30" i="22"/>
  <c r="C157" i="26"/>
  <c r="M157" i="26" s="1"/>
  <c r="L31" i="26"/>
  <c r="L52" i="26"/>
  <c r="G72" i="26"/>
  <c r="G92" i="26" s="1"/>
  <c r="N9" i="26"/>
  <c r="N10" i="26"/>
  <c r="E162" i="26"/>
  <c r="B72" i="26"/>
  <c r="B92" i="26" s="1"/>
  <c r="H94" i="26" s="1"/>
  <c r="H115" i="26" s="1"/>
  <c r="B73" i="26"/>
  <c r="B93" i="26" s="1"/>
  <c r="F96" i="8"/>
  <c r="F84" i="8"/>
  <c r="G84" i="8" s="1"/>
  <c r="F72" i="8"/>
  <c r="D28" i="2"/>
  <c r="F60" i="8"/>
  <c r="G60" i="8" s="1"/>
  <c r="E71" i="2" s="1"/>
  <c r="G48" i="8"/>
  <c r="E50" i="2" s="1"/>
  <c r="D49" i="2" s="1"/>
  <c r="F48" i="8"/>
  <c r="F36" i="8"/>
  <c r="E96" i="8"/>
  <c r="E84" i="8"/>
  <c r="E72" i="8"/>
  <c r="E48" i="8"/>
  <c r="E36" i="8"/>
  <c r="H95" i="26" l="1"/>
  <c r="H116" i="26" s="1"/>
  <c r="B114" i="26"/>
  <c r="B113" i="26"/>
  <c r="L92" i="26"/>
  <c r="G113" i="26"/>
  <c r="L113" i="26" s="1"/>
  <c r="L78" i="26"/>
  <c r="B98" i="26"/>
  <c r="L98" i="26" s="1"/>
  <c r="G72" i="8"/>
  <c r="L72" i="26"/>
  <c r="G135" i="26"/>
  <c r="G96" i="8"/>
  <c r="H75" i="26"/>
  <c r="B136" i="26"/>
  <c r="H142" i="26"/>
  <c r="B166" i="26"/>
  <c r="H167" i="26" s="1"/>
  <c r="H74" i="26"/>
  <c r="B135" i="26"/>
  <c r="D161" i="26"/>
  <c r="N161" i="26" s="1"/>
  <c r="O162" i="26"/>
  <c r="E60" i="8"/>
  <c r="L135" i="26" l="1"/>
  <c r="G155" i="26"/>
  <c r="L155" i="26" s="1"/>
  <c r="H138" i="26"/>
  <c r="B156" i="26"/>
  <c r="H158" i="26" s="1"/>
  <c r="H137" i="26"/>
  <c r="B155" i="26"/>
  <c r="H157" i="26" s="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36" i="11"/>
  <c r="E51" i="11" l="1"/>
  <c r="F37" i="11" s="1"/>
  <c r="F44" i="11"/>
  <c r="F43" i="11"/>
  <c r="F38" i="11"/>
  <c r="F45" i="11"/>
  <c r="F36" i="11"/>
  <c r="F50" i="11"/>
  <c r="F42" i="11"/>
  <c r="F49" i="11"/>
  <c r="F47" i="11"/>
  <c r="F39" i="11"/>
  <c r="R6" i="21"/>
  <c r="E17" i="5"/>
  <c r="E16" i="5"/>
  <c r="D14" i="5"/>
  <c r="C66" i="22"/>
  <c r="Z31" i="22"/>
  <c r="Z29" i="22"/>
  <c r="Z27" i="22"/>
  <c r="Z25" i="22"/>
  <c r="Z23" i="22"/>
  <c r="Z21" i="22"/>
  <c r="Z19" i="22"/>
  <c r="Z17" i="22"/>
  <c r="Z15" i="22"/>
  <c r="Z13" i="22"/>
  <c r="F40" i="11" l="1"/>
  <c r="F46" i="11"/>
  <c r="F41" i="11"/>
  <c r="F48" i="11"/>
  <c r="AL67" i="22"/>
  <c r="AF97" i="22"/>
  <c r="F51" i="11" l="1"/>
  <c r="AI43" i="22"/>
  <c r="D89" i="28" s="1"/>
  <c r="Z97" i="22"/>
  <c r="I66" i="22"/>
  <c r="AC67" i="22"/>
  <c r="F37" i="22"/>
  <c r="I89" i="28" l="1"/>
  <c r="AI67" i="22"/>
  <c r="AI68" i="22" s="1"/>
  <c r="AI74" i="22" s="1"/>
  <c r="AC6" i="22"/>
  <c r="D61" i="28" s="1"/>
  <c r="I61" i="28" s="1"/>
  <c r="AF37" i="22"/>
  <c r="C33" i="14"/>
  <c r="E33" i="14"/>
  <c r="L7" i="21" s="1"/>
  <c r="L17" i="21" s="1"/>
  <c r="O51" i="21"/>
  <c r="R40" i="21"/>
  <c r="F40" i="21"/>
  <c r="F51" i="21" s="1"/>
  <c r="F52" i="21" s="1"/>
  <c r="L59" i="21" s="1"/>
  <c r="I7" i="21"/>
  <c r="I17" i="21" s="1"/>
  <c r="I23" i="21"/>
  <c r="C24" i="21"/>
  <c r="C34" i="21" s="1"/>
  <c r="M30" i="14"/>
  <c r="L29" i="14"/>
  <c r="I29" i="14"/>
  <c r="G29" i="14"/>
  <c r="P30" i="5"/>
  <c r="W25" i="21" s="1"/>
  <c r="W34" i="21" s="1"/>
  <c r="H47" i="4"/>
  <c r="H46" i="4"/>
  <c r="Z24" i="21"/>
  <c r="Z34" i="21" s="1"/>
  <c r="AL7" i="21"/>
  <c r="AC7" i="21"/>
  <c r="AR7" i="21"/>
  <c r="AR17" i="21" s="1"/>
  <c r="AI23" i="21"/>
  <c r="AI34" i="21" s="1"/>
  <c r="AI35" i="21" s="1"/>
  <c r="AI40" i="21" s="1"/>
  <c r="W7" i="21"/>
  <c r="AF51" i="21"/>
  <c r="Z51" i="21"/>
  <c r="I51" i="21"/>
  <c r="C51" i="21"/>
  <c r="AR34" i="21"/>
  <c r="AL34" i="21"/>
  <c r="AC34" i="21"/>
  <c r="F68" i="21"/>
  <c r="F17" i="21"/>
  <c r="D22" i="5"/>
  <c r="E18" i="5"/>
  <c r="D15" i="5" s="1"/>
  <c r="AC40" i="21" s="1"/>
  <c r="L9" i="14"/>
  <c r="H9" i="14"/>
  <c r="H10" i="14"/>
  <c r="E14" i="14"/>
  <c r="O12" i="14" s="1"/>
  <c r="F11" i="28" l="1"/>
  <c r="L11" i="28" s="1"/>
  <c r="R11" i="28" s="1"/>
  <c r="N61" i="28"/>
  <c r="N89" i="28"/>
  <c r="F40" i="28"/>
  <c r="AC37" i="22"/>
  <c r="AC38" i="22" s="1"/>
  <c r="R23" i="21"/>
  <c r="R34" i="21" s="1"/>
  <c r="D29" i="14"/>
  <c r="N29" i="14" s="1"/>
  <c r="AC8" i="21"/>
  <c r="E23" i="5"/>
  <c r="AL8" i="21" s="1"/>
  <c r="Z7" i="21"/>
  <c r="Z35" i="21"/>
  <c r="I18" i="21"/>
  <c r="E13" i="14"/>
  <c r="N10" i="14"/>
  <c r="L10" i="14"/>
  <c r="M32" i="14" s="1"/>
  <c r="N8" i="14"/>
  <c r="L8" i="14"/>
  <c r="J11" i="14"/>
  <c r="H11" i="14"/>
  <c r="I70" i="2"/>
  <c r="I49" i="2"/>
  <c r="E29" i="2"/>
  <c r="J30" i="2" s="1"/>
  <c r="L40" i="28" l="1"/>
  <c r="I7" i="14"/>
  <c r="L40" i="21"/>
  <c r="O23" i="21"/>
  <c r="O34" i="21" s="1"/>
  <c r="R35" i="21" s="1"/>
  <c r="E24" i="5"/>
  <c r="AF23" i="21" s="1"/>
  <c r="J50" i="2"/>
  <c r="D70" i="2"/>
  <c r="J71" i="2" s="1"/>
  <c r="I28" i="2"/>
  <c r="R40" i="28" l="1"/>
  <c r="N35" i="11"/>
  <c r="N38" i="11" s="1"/>
  <c r="E19" i="26" s="1"/>
  <c r="F335" i="11"/>
  <c r="F293" i="11"/>
  <c r="F272" i="11"/>
  <c r="F251" i="11"/>
  <c r="F230" i="11"/>
  <c r="F209" i="11"/>
  <c r="F188" i="11"/>
  <c r="F167" i="11"/>
  <c r="D60" i="11"/>
  <c r="F146" i="11"/>
  <c r="H36" i="11"/>
  <c r="E75" i="11"/>
  <c r="H75" i="11" s="1"/>
  <c r="E74" i="11"/>
  <c r="H74" i="11" s="1"/>
  <c r="E73" i="11"/>
  <c r="H73" i="11" s="1"/>
  <c r="E72" i="11"/>
  <c r="H72" i="11" s="1"/>
  <c r="E71" i="11"/>
  <c r="H71" i="11" s="1"/>
  <c r="E70" i="11"/>
  <c r="H70" i="11" s="1"/>
  <c r="E69" i="11"/>
  <c r="H69" i="11" s="1"/>
  <c r="E68" i="11"/>
  <c r="H68" i="11" s="1"/>
  <c r="E67" i="11"/>
  <c r="H67" i="11" s="1"/>
  <c r="E66" i="11"/>
  <c r="H66" i="11" s="1"/>
  <c r="E65" i="11"/>
  <c r="H65" i="11" s="1"/>
  <c r="E64" i="11"/>
  <c r="H64" i="11" s="1"/>
  <c r="E63" i="11"/>
  <c r="H63" i="11" s="1"/>
  <c r="E62" i="11"/>
  <c r="H62" i="11" s="1"/>
  <c r="E61" i="11"/>
  <c r="H61" i="11" s="1"/>
  <c r="F60" i="11"/>
  <c r="F314" i="11"/>
  <c r="F125" i="11"/>
  <c r="F104" i="11"/>
  <c r="F83" i="11"/>
  <c r="H5" i="16"/>
  <c r="D6" i="16"/>
  <c r="J7" i="16"/>
  <c r="D32" i="26" s="1"/>
  <c r="O17" i="5"/>
  <c r="I17" i="5"/>
  <c r="C38" i="5"/>
  <c r="D8" i="26" l="1"/>
  <c r="J34" i="26"/>
  <c r="I32" i="26" s="1"/>
  <c r="N32" i="26" s="1"/>
  <c r="D7" i="16"/>
  <c r="E7" i="16" s="1"/>
  <c r="D85" i="11"/>
  <c r="K7" i="16"/>
  <c r="W73" i="22"/>
  <c r="D87" i="28" s="1"/>
  <c r="D7" i="23"/>
  <c r="E9" i="23" s="1"/>
  <c r="O32" i="14"/>
  <c r="H37" i="11"/>
  <c r="H60" i="11"/>
  <c r="I60" i="11"/>
  <c r="I36" i="11"/>
  <c r="K36" i="11" s="1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G9" i="4"/>
  <c r="C6" i="1"/>
  <c r="C7" i="1"/>
  <c r="C50" i="1"/>
  <c r="C55" i="1"/>
  <c r="C59" i="1"/>
  <c r="C63" i="1"/>
  <c r="C65" i="1"/>
  <c r="C66" i="1"/>
  <c r="I87" i="28" l="1"/>
  <c r="D26" i="26"/>
  <c r="E27" i="26" s="1"/>
  <c r="N26" i="26"/>
  <c r="O19" i="26"/>
  <c r="N8" i="26"/>
  <c r="E11" i="26"/>
  <c r="Z43" i="22" s="1"/>
  <c r="N7" i="16"/>
  <c r="D31" i="26"/>
  <c r="W6" i="22"/>
  <c r="C6" i="22"/>
  <c r="L6" i="22"/>
  <c r="L37" i="22" s="1"/>
  <c r="H38" i="11"/>
  <c r="H39" i="11" s="1"/>
  <c r="H40" i="11" s="1"/>
  <c r="H41" i="11" s="1"/>
  <c r="H42" i="11" s="1"/>
  <c r="H43" i="11" s="1"/>
  <c r="H44" i="11" s="1"/>
  <c r="H45" i="11" s="1"/>
  <c r="H46" i="11" s="1"/>
  <c r="D17" i="16" s="1"/>
  <c r="D107" i="11"/>
  <c r="E107" i="11" s="1"/>
  <c r="G107" i="11" s="1"/>
  <c r="D7" i="14"/>
  <c r="I37" i="11"/>
  <c r="K37" i="11" s="1"/>
  <c r="L60" i="11"/>
  <c r="F7" i="16"/>
  <c r="D8" i="16"/>
  <c r="E8" i="16" s="1"/>
  <c r="D47" i="26" s="1"/>
  <c r="E85" i="11"/>
  <c r="G85" i="11" s="1"/>
  <c r="D86" i="11"/>
  <c r="L7" i="16"/>
  <c r="J8" i="16" s="1"/>
  <c r="B47" i="4"/>
  <c r="B46" i="4"/>
  <c r="B45" i="4"/>
  <c r="C8" i="1"/>
  <c r="N87" i="28" l="1"/>
  <c r="F38" i="28"/>
  <c r="D93" i="28"/>
  <c r="E40" i="26"/>
  <c r="O40" i="26" s="1"/>
  <c r="Z67" i="22"/>
  <c r="I8" i="26"/>
  <c r="J9" i="26" s="1"/>
  <c r="O11" i="26" s="1"/>
  <c r="D53" i="26"/>
  <c r="W74" i="22" s="1"/>
  <c r="E48" i="26"/>
  <c r="N47" i="26"/>
  <c r="N67" i="26" s="1"/>
  <c r="N87" i="26" s="1"/>
  <c r="J33" i="26"/>
  <c r="I31" i="26" s="1"/>
  <c r="E33" i="26"/>
  <c r="Z7" i="22" s="1"/>
  <c r="O27" i="26"/>
  <c r="Z6" i="22"/>
  <c r="C20" i="1"/>
  <c r="D261" i="11"/>
  <c r="D262" i="11" s="1"/>
  <c r="D263" i="11" s="1"/>
  <c r="D264" i="11" s="1"/>
  <c r="D217" i="11"/>
  <c r="D218" i="11" s="1"/>
  <c r="E218" i="11" s="1"/>
  <c r="G218" i="11" s="1"/>
  <c r="D15" i="16"/>
  <c r="D108" i="11"/>
  <c r="E108" i="11" s="1"/>
  <c r="G108" i="11" s="1"/>
  <c r="D173" i="11"/>
  <c r="D174" i="11" s="1"/>
  <c r="D175" i="11" s="1"/>
  <c r="D176" i="11" s="1"/>
  <c r="D283" i="11"/>
  <c r="E283" i="11" s="1"/>
  <c r="G283" i="11" s="1"/>
  <c r="C7" i="21"/>
  <c r="D13" i="16"/>
  <c r="D11" i="16"/>
  <c r="D10" i="16"/>
  <c r="W9" i="22"/>
  <c r="AF43" i="22"/>
  <c r="W7" i="22"/>
  <c r="W43" i="22"/>
  <c r="D88" i="28" s="1"/>
  <c r="D14" i="23"/>
  <c r="D129" i="11"/>
  <c r="E129" i="11" s="1"/>
  <c r="G129" i="11" s="1"/>
  <c r="D16" i="16"/>
  <c r="D14" i="16"/>
  <c r="D195" i="11"/>
  <c r="D196" i="11" s="1"/>
  <c r="D197" i="11" s="1"/>
  <c r="D198" i="11" s="1"/>
  <c r="D305" i="11"/>
  <c r="D306" i="11" s="1"/>
  <c r="D151" i="11"/>
  <c r="D152" i="11" s="1"/>
  <c r="D153" i="11" s="1"/>
  <c r="D239" i="11"/>
  <c r="D240" i="11" s="1"/>
  <c r="D241" i="11" s="1"/>
  <c r="H47" i="11"/>
  <c r="D18" i="16" s="1"/>
  <c r="D9" i="16"/>
  <c r="E9" i="16" s="1"/>
  <c r="D67" i="26" s="1"/>
  <c r="D12" i="16"/>
  <c r="D12" i="14"/>
  <c r="C57" i="21" s="1"/>
  <c r="C68" i="21" s="1"/>
  <c r="C69" i="21" s="1"/>
  <c r="I60" i="21" s="1"/>
  <c r="N7" i="14"/>
  <c r="C11" i="1"/>
  <c r="C9" i="1"/>
  <c r="C10" i="1"/>
  <c r="C12" i="1"/>
  <c r="C16" i="1"/>
  <c r="C19" i="1"/>
  <c r="C14" i="1"/>
  <c r="C18" i="1"/>
  <c r="C13" i="1"/>
  <c r="C17" i="1"/>
  <c r="C15" i="1"/>
  <c r="E86" i="11"/>
  <c r="G86" i="11" s="1"/>
  <c r="D87" i="11"/>
  <c r="K8" i="16"/>
  <c r="F8" i="16"/>
  <c r="E61" i="26" s="1"/>
  <c r="I38" i="11"/>
  <c r="K38" i="11" s="1"/>
  <c r="G33" i="4"/>
  <c r="H33" i="4" s="1"/>
  <c r="G24" i="4"/>
  <c r="H24" i="4" s="1"/>
  <c r="G20" i="4"/>
  <c r="H20" i="4" s="1"/>
  <c r="G42" i="4"/>
  <c r="H42" i="4" s="1"/>
  <c r="G23" i="4"/>
  <c r="H23" i="4" s="1"/>
  <c r="G13" i="4"/>
  <c r="H13" i="4" s="1"/>
  <c r="G31" i="4"/>
  <c r="H31" i="4" s="1"/>
  <c r="G41" i="4"/>
  <c r="H41" i="4" s="1"/>
  <c r="G19" i="4"/>
  <c r="H19" i="4" s="1"/>
  <c r="G38" i="4"/>
  <c r="H38" i="4" s="1"/>
  <c r="G35" i="4"/>
  <c r="H35" i="4" s="1"/>
  <c r="G15" i="4"/>
  <c r="H15" i="4" s="1"/>
  <c r="G29" i="4"/>
  <c r="H29" i="4" s="1"/>
  <c r="G37" i="4"/>
  <c r="H37" i="4" s="1"/>
  <c r="G36" i="4"/>
  <c r="G45" i="4"/>
  <c r="H45" i="4" s="1"/>
  <c r="G39" i="4"/>
  <c r="H39" i="4" s="1"/>
  <c r="G32" i="4"/>
  <c r="H32" i="4" s="1"/>
  <c r="G21" i="4"/>
  <c r="H21" i="4" s="1"/>
  <c r="G28" i="4"/>
  <c r="H28" i="4" s="1"/>
  <c r="G44" i="4"/>
  <c r="H44" i="4" s="1"/>
  <c r="G14" i="4"/>
  <c r="H14" i="4" s="1"/>
  <c r="G34" i="4"/>
  <c r="H34" i="4" s="1"/>
  <c r="G30" i="4"/>
  <c r="H30" i="4" s="1"/>
  <c r="G18" i="4"/>
  <c r="H18" i="4" s="1"/>
  <c r="G43" i="4"/>
  <c r="H43" i="4" s="1"/>
  <c r="G17" i="4"/>
  <c r="H17" i="4" s="1"/>
  <c r="G25" i="4"/>
  <c r="H25" i="4" s="1"/>
  <c r="G40" i="4"/>
  <c r="H40" i="4" s="1"/>
  <c r="G26" i="4"/>
  <c r="H26" i="4" s="1"/>
  <c r="G22" i="4"/>
  <c r="H22" i="4" s="1"/>
  <c r="G16" i="4"/>
  <c r="H16" i="4" s="1"/>
  <c r="G11" i="4"/>
  <c r="H11" i="4" s="1"/>
  <c r="G12" i="4"/>
  <c r="H12" i="4" s="1"/>
  <c r="I88" i="28" l="1"/>
  <c r="D91" i="28"/>
  <c r="L38" i="28"/>
  <c r="Z8" i="22"/>
  <c r="D60" i="28" s="1"/>
  <c r="D83" i="28"/>
  <c r="D94" i="28"/>
  <c r="I93" i="28"/>
  <c r="N31" i="26"/>
  <c r="O48" i="26"/>
  <c r="O68" i="26" s="1"/>
  <c r="O88" i="26" s="1"/>
  <c r="O61" i="26"/>
  <c r="J55" i="26"/>
  <c r="I53" i="26" s="1"/>
  <c r="N53" i="26" s="1"/>
  <c r="D52" i="26"/>
  <c r="E68" i="26"/>
  <c r="AF44" i="22"/>
  <c r="O33" i="26"/>
  <c r="E262" i="11"/>
  <c r="G262" i="11" s="1"/>
  <c r="D109" i="11"/>
  <c r="D110" i="11" s="1"/>
  <c r="D111" i="11" s="1"/>
  <c r="E263" i="11"/>
  <c r="G263" i="11" s="1"/>
  <c r="D284" i="11"/>
  <c r="E284" i="11" s="1"/>
  <c r="G284" i="11" s="1"/>
  <c r="E173" i="11"/>
  <c r="G173" i="11" s="1"/>
  <c r="E217" i="11"/>
  <c r="G217" i="11" s="1"/>
  <c r="E175" i="11"/>
  <c r="G175" i="11" s="1"/>
  <c r="E261" i="11"/>
  <c r="G261" i="11" s="1"/>
  <c r="D219" i="11"/>
  <c r="E219" i="11" s="1"/>
  <c r="G219" i="11" s="1"/>
  <c r="E174" i="11"/>
  <c r="G174" i="11" s="1"/>
  <c r="H48" i="11"/>
  <c r="H49" i="11" s="1"/>
  <c r="E197" i="11"/>
  <c r="G197" i="11" s="1"/>
  <c r="E196" i="11"/>
  <c r="G196" i="11" s="1"/>
  <c r="D327" i="11"/>
  <c r="Z10" i="22"/>
  <c r="W11" i="22"/>
  <c r="N40" i="11"/>
  <c r="C7" i="22"/>
  <c r="D23" i="23"/>
  <c r="E240" i="11"/>
  <c r="G240" i="11" s="1"/>
  <c r="E152" i="11"/>
  <c r="G152" i="11" s="1"/>
  <c r="E305" i="11"/>
  <c r="G305" i="11" s="1"/>
  <c r="D130" i="11"/>
  <c r="E130" i="11" s="1"/>
  <c r="G130" i="11" s="1"/>
  <c r="E239" i="11"/>
  <c r="G239" i="11" s="1"/>
  <c r="E151" i="11"/>
  <c r="G151" i="11" s="1"/>
  <c r="E195" i="11"/>
  <c r="G195" i="11" s="1"/>
  <c r="H36" i="4"/>
  <c r="S47" i="4"/>
  <c r="U47" i="4" s="1"/>
  <c r="D50" i="14" s="1"/>
  <c r="D52" i="14" s="1"/>
  <c r="I33" i="4"/>
  <c r="I34" i="4"/>
  <c r="J9" i="14"/>
  <c r="I8" i="14" s="1"/>
  <c r="I20" i="4"/>
  <c r="I21" i="4"/>
  <c r="I14" i="4"/>
  <c r="I13" i="4"/>
  <c r="I12" i="4"/>
  <c r="I22" i="4"/>
  <c r="I31" i="4"/>
  <c r="I32" i="4"/>
  <c r="I19" i="4"/>
  <c r="I17" i="4"/>
  <c r="I35" i="4"/>
  <c r="I26" i="4"/>
  <c r="I11" i="4"/>
  <c r="I29" i="4"/>
  <c r="I23" i="4"/>
  <c r="I16" i="4"/>
  <c r="I25" i="4"/>
  <c r="I30" i="4"/>
  <c r="I28" i="4"/>
  <c r="C21" i="1"/>
  <c r="I18" i="4"/>
  <c r="I15" i="4"/>
  <c r="F9" i="16"/>
  <c r="E81" i="26" s="1"/>
  <c r="D307" i="11"/>
  <c r="E306" i="11"/>
  <c r="G306" i="11" s="1"/>
  <c r="L8" i="16"/>
  <c r="J9" i="16" s="1"/>
  <c r="E264" i="11"/>
  <c r="G264" i="11" s="1"/>
  <c r="D265" i="11"/>
  <c r="D242" i="11"/>
  <c r="E241" i="11"/>
  <c r="G241" i="11" s="1"/>
  <c r="E198" i="11"/>
  <c r="G198" i="11" s="1"/>
  <c r="D199" i="11"/>
  <c r="E176" i="11"/>
  <c r="G176" i="11" s="1"/>
  <c r="D177" i="11"/>
  <c r="D154" i="11"/>
  <c r="E153" i="11"/>
  <c r="G153" i="11" s="1"/>
  <c r="N8" i="16"/>
  <c r="E87" i="11"/>
  <c r="G87" i="11" s="1"/>
  <c r="D88" i="11"/>
  <c r="E10" i="16"/>
  <c r="D87" i="26" s="1"/>
  <c r="E88" i="26" s="1"/>
  <c r="I39" i="11"/>
  <c r="K39" i="11" s="1"/>
  <c r="G27" i="4"/>
  <c r="H27" i="4" s="1"/>
  <c r="G10" i="4"/>
  <c r="H10" i="4" s="1"/>
  <c r="S23" i="4"/>
  <c r="M10" i="4"/>
  <c r="R38" i="28" l="1"/>
  <c r="L88" i="28"/>
  <c r="F39" i="28"/>
  <c r="N88" i="28"/>
  <c r="N91" i="28" s="1"/>
  <c r="I91" i="28"/>
  <c r="I60" i="28"/>
  <c r="I64" i="28" s="1"/>
  <c r="D64" i="28"/>
  <c r="E110" i="11"/>
  <c r="G110" i="11" s="1"/>
  <c r="R60" i="28"/>
  <c r="D85" i="28"/>
  <c r="D96" i="28" s="1"/>
  <c r="I83" i="28"/>
  <c r="D17" i="26"/>
  <c r="G5" i="16"/>
  <c r="L93" i="28"/>
  <c r="N93" i="28" s="1"/>
  <c r="F44" i="28"/>
  <c r="I94" i="28"/>
  <c r="D73" i="26"/>
  <c r="J54" i="26"/>
  <c r="I52" i="26" s="1"/>
  <c r="E54" i="26"/>
  <c r="O81" i="26"/>
  <c r="AF45" i="22"/>
  <c r="W44" i="22"/>
  <c r="E109" i="11"/>
  <c r="G109" i="11" s="1"/>
  <c r="D285" i="11"/>
  <c r="E285" i="11" s="1"/>
  <c r="G285" i="11" s="1"/>
  <c r="D220" i="11"/>
  <c r="D221" i="11" s="1"/>
  <c r="D222" i="11" s="1"/>
  <c r="E222" i="11" s="1"/>
  <c r="G222" i="11" s="1"/>
  <c r="I24" i="21"/>
  <c r="I34" i="21" s="1"/>
  <c r="E53" i="14"/>
  <c r="L41" i="21" s="1"/>
  <c r="L51" i="21" s="1"/>
  <c r="L52" i="21" s="1"/>
  <c r="L60" i="21" s="1"/>
  <c r="C9" i="21"/>
  <c r="E54" i="14"/>
  <c r="R9" i="21" s="1"/>
  <c r="R17" i="21" s="1"/>
  <c r="N50" i="14"/>
  <c r="O51" i="14" s="1"/>
  <c r="D19" i="16"/>
  <c r="D349" i="11" s="1"/>
  <c r="D350" i="11" s="1"/>
  <c r="E350" i="11" s="1"/>
  <c r="G350" i="11" s="1"/>
  <c r="W13" i="22"/>
  <c r="AF46" i="22"/>
  <c r="Z12" i="22"/>
  <c r="C8" i="22"/>
  <c r="D31" i="23"/>
  <c r="D131" i="11"/>
  <c r="D132" i="11" s="1"/>
  <c r="D133" i="11" s="1"/>
  <c r="E133" i="11" s="1"/>
  <c r="S35" i="4"/>
  <c r="Q17" i="5" s="1"/>
  <c r="N9" i="14"/>
  <c r="I10" i="4"/>
  <c r="J10" i="4" s="1"/>
  <c r="I24" i="4"/>
  <c r="C22" i="1"/>
  <c r="T35" i="4"/>
  <c r="E10" i="4"/>
  <c r="F10" i="4" s="1"/>
  <c r="F10" i="16"/>
  <c r="D308" i="11"/>
  <c r="E308" i="11" s="1"/>
  <c r="G308" i="11" s="1"/>
  <c r="E307" i="11"/>
  <c r="G307" i="11" s="1"/>
  <c r="H50" i="11"/>
  <c r="D21" i="16" s="1"/>
  <c r="D20" i="16"/>
  <c r="K9" i="16"/>
  <c r="D72" i="26" s="1"/>
  <c r="D266" i="11"/>
  <c r="E266" i="11" s="1"/>
  <c r="G266" i="11" s="1"/>
  <c r="E265" i="11"/>
  <c r="G265" i="11" s="1"/>
  <c r="E242" i="11"/>
  <c r="G242" i="11" s="1"/>
  <c r="D243" i="11"/>
  <c r="D200" i="11"/>
  <c r="E199" i="11"/>
  <c r="G199" i="11" s="1"/>
  <c r="D178" i="11"/>
  <c r="E177" i="11"/>
  <c r="G177" i="11" s="1"/>
  <c r="D155" i="11"/>
  <c r="E154" i="11"/>
  <c r="G154" i="11" s="1"/>
  <c r="D89" i="11"/>
  <c r="E88" i="11"/>
  <c r="G88" i="11" s="1"/>
  <c r="D112" i="11"/>
  <c r="E111" i="11"/>
  <c r="E11" i="16"/>
  <c r="D108" i="26" s="1"/>
  <c r="I40" i="11"/>
  <c r="K40" i="11" s="1"/>
  <c r="S11" i="4"/>
  <c r="T23" i="4"/>
  <c r="J16" i="5" s="1"/>
  <c r="F10" i="28" l="1"/>
  <c r="F13" i="28" s="1"/>
  <c r="L39" i="28"/>
  <c r="F42" i="28"/>
  <c r="N60" i="28"/>
  <c r="N64" i="28" s="1"/>
  <c r="L91" i="28"/>
  <c r="N39" i="28"/>
  <c r="N42" i="28" s="1"/>
  <c r="G7" i="16"/>
  <c r="G16" i="16"/>
  <c r="G20" i="16"/>
  <c r="G15" i="16"/>
  <c r="G17" i="16"/>
  <c r="G10" i="16"/>
  <c r="G14" i="16"/>
  <c r="G11" i="16"/>
  <c r="G18" i="16"/>
  <c r="G12" i="16"/>
  <c r="G9" i="16"/>
  <c r="G19" i="16"/>
  <c r="G8" i="16"/>
  <c r="G13" i="16"/>
  <c r="N94" i="28"/>
  <c r="D98" i="28"/>
  <c r="I96" i="28"/>
  <c r="AI6" i="22"/>
  <c r="N17" i="26"/>
  <c r="F34" i="28"/>
  <c r="N83" i="28"/>
  <c r="I85" i="28"/>
  <c r="L44" i="28"/>
  <c r="F45" i="28"/>
  <c r="W60" i="28"/>
  <c r="D39" i="23"/>
  <c r="E102" i="26"/>
  <c r="O102" i="26" s="1"/>
  <c r="N108" i="26"/>
  <c r="E109" i="26"/>
  <c r="O109" i="26" s="1"/>
  <c r="N44" i="28"/>
  <c r="L96" i="28"/>
  <c r="L98" i="28" s="1"/>
  <c r="L71" i="28"/>
  <c r="L94" i="28"/>
  <c r="N52" i="26"/>
  <c r="O54" i="26"/>
  <c r="Z9" i="22"/>
  <c r="J75" i="26"/>
  <c r="I73" i="26" s="1"/>
  <c r="N73" i="26" s="1"/>
  <c r="E74" i="26"/>
  <c r="Z11" i="22" s="1"/>
  <c r="J74" i="26"/>
  <c r="I72" i="26" s="1"/>
  <c r="N72" i="26" s="1"/>
  <c r="W75" i="22"/>
  <c r="D286" i="11"/>
  <c r="D287" i="11" s="1"/>
  <c r="E287" i="11" s="1"/>
  <c r="G287" i="11" s="1"/>
  <c r="D223" i="11"/>
  <c r="D224" i="11" s="1"/>
  <c r="E224" i="11" s="1"/>
  <c r="G224" i="11" s="1"/>
  <c r="G293" i="11"/>
  <c r="E220" i="11"/>
  <c r="G220" i="11" s="1"/>
  <c r="E221" i="11"/>
  <c r="G221" i="11" s="1"/>
  <c r="D134" i="11"/>
  <c r="E134" i="11" s="1"/>
  <c r="G134" i="11" s="1"/>
  <c r="E131" i="11"/>
  <c r="G131" i="11" s="1"/>
  <c r="W45" i="22"/>
  <c r="E349" i="11"/>
  <c r="G349" i="11" s="1"/>
  <c r="F11" i="16"/>
  <c r="AF47" i="22"/>
  <c r="W15" i="22"/>
  <c r="Z14" i="22"/>
  <c r="C10" i="22"/>
  <c r="C9" i="22"/>
  <c r="E132" i="11"/>
  <c r="G132" i="11" s="1"/>
  <c r="N9" i="16"/>
  <c r="AF11" i="21"/>
  <c r="AO24" i="21"/>
  <c r="P16" i="5"/>
  <c r="C23" i="1"/>
  <c r="I27" i="4"/>
  <c r="U35" i="4" s="1"/>
  <c r="L9" i="16"/>
  <c r="J10" i="16" s="1"/>
  <c r="G251" i="11"/>
  <c r="E243" i="11"/>
  <c r="G243" i="11" s="1"/>
  <c r="D244" i="11"/>
  <c r="E200" i="11"/>
  <c r="G200" i="11" s="1"/>
  <c r="D201" i="11"/>
  <c r="D179" i="11"/>
  <c r="E178" i="11"/>
  <c r="G178" i="11" s="1"/>
  <c r="E155" i="11"/>
  <c r="G155" i="11" s="1"/>
  <c r="D156" i="11"/>
  <c r="E89" i="11"/>
  <c r="G89" i="11" s="1"/>
  <c r="D90" i="11"/>
  <c r="G133" i="11"/>
  <c r="D113" i="11"/>
  <c r="E112" i="11"/>
  <c r="G112" i="11" s="1"/>
  <c r="G111" i="11"/>
  <c r="E12" i="16"/>
  <c r="I41" i="11"/>
  <c r="K41" i="11" s="1"/>
  <c r="U23" i="4"/>
  <c r="J15" i="5" s="1"/>
  <c r="W9" i="21" s="1"/>
  <c r="N10" i="4"/>
  <c r="L10" i="4" s="1"/>
  <c r="J11" i="4" s="1"/>
  <c r="U11" i="4"/>
  <c r="D36" i="5" s="1"/>
  <c r="W8" i="21" s="1"/>
  <c r="E11" i="4"/>
  <c r="F11" i="4" s="1"/>
  <c r="E76" i="7"/>
  <c r="T11" i="4"/>
  <c r="D37" i="5" s="1"/>
  <c r="D8" i="1"/>
  <c r="D9" i="1"/>
  <c r="D10" i="1"/>
  <c r="D11" i="1"/>
  <c r="D12" i="1"/>
  <c r="D13" i="1"/>
  <c r="D14" i="1"/>
  <c r="D15" i="1"/>
  <c r="D16" i="1"/>
  <c r="D18" i="1"/>
  <c r="D19" i="1"/>
  <c r="D20" i="1"/>
  <c r="D22" i="1"/>
  <c r="D7" i="1"/>
  <c r="D17" i="1"/>
  <c r="E7" i="1"/>
  <c r="N47" i="28" l="1"/>
  <c r="N49" i="28" s="1"/>
  <c r="W76" i="22"/>
  <c r="D93" i="26"/>
  <c r="J95" i="26" s="1"/>
  <c r="I93" i="26" s="1"/>
  <c r="N93" i="26" s="1"/>
  <c r="R39" i="28"/>
  <c r="R42" i="28" s="1"/>
  <c r="L42" i="28"/>
  <c r="G22" i="16"/>
  <c r="AP9" i="22"/>
  <c r="AA60" i="28"/>
  <c r="D10" i="28"/>
  <c r="I13" i="22"/>
  <c r="AL13" i="22"/>
  <c r="AL12" i="22"/>
  <c r="I12" i="22"/>
  <c r="R9" i="22"/>
  <c r="E101" i="26"/>
  <c r="I9" i="22"/>
  <c r="AL9" i="22"/>
  <c r="N20" i="28"/>
  <c r="L72" i="28"/>
  <c r="L76" i="28" s="1"/>
  <c r="N71" i="28"/>
  <c r="E60" i="26"/>
  <c r="D24" i="23"/>
  <c r="D40" i="23"/>
  <c r="E41" i="23" s="1"/>
  <c r="D49" i="23"/>
  <c r="AL16" i="22"/>
  <c r="I16" i="22"/>
  <c r="E121" i="26"/>
  <c r="F46" i="22"/>
  <c r="AL10" i="22"/>
  <c r="I10" i="22"/>
  <c r="R44" i="28"/>
  <c r="AI37" i="22"/>
  <c r="E143" i="26"/>
  <c r="O143" i="26" s="1"/>
  <c r="D60" i="23"/>
  <c r="I18" i="22"/>
  <c r="AL18" i="22"/>
  <c r="I14" i="22"/>
  <c r="AL14" i="22"/>
  <c r="I98" i="28"/>
  <c r="N96" i="28"/>
  <c r="E80" i="26"/>
  <c r="D32" i="23"/>
  <c r="E167" i="26"/>
  <c r="O167" i="26" s="1"/>
  <c r="AL19" i="22"/>
  <c r="I19" i="22"/>
  <c r="D68" i="23"/>
  <c r="N85" i="28"/>
  <c r="AL11" i="22"/>
  <c r="I11" i="22"/>
  <c r="I15" i="22"/>
  <c r="AL15" i="22"/>
  <c r="E122" i="26"/>
  <c r="O122" i="26" s="1"/>
  <c r="D48" i="23"/>
  <c r="F36" i="28"/>
  <c r="F47" i="28" s="1"/>
  <c r="F49" i="28" s="1"/>
  <c r="L34" i="28"/>
  <c r="AL17" i="22"/>
  <c r="I17" i="22"/>
  <c r="D15" i="23"/>
  <c r="E39" i="26"/>
  <c r="O74" i="26"/>
  <c r="AC78" i="22"/>
  <c r="E286" i="11"/>
  <c r="G286" i="11" s="1"/>
  <c r="G272" i="11" s="1"/>
  <c r="E223" i="11"/>
  <c r="G223" i="11" s="1"/>
  <c r="G209" i="11" s="1"/>
  <c r="D135" i="11"/>
  <c r="E135" i="11" s="1"/>
  <c r="G335" i="11"/>
  <c r="F12" i="16"/>
  <c r="AF48" i="22"/>
  <c r="W17" i="22"/>
  <c r="Z16" i="22"/>
  <c r="C11" i="22"/>
  <c r="AO23" i="21"/>
  <c r="AO25" i="21"/>
  <c r="Q11" i="4"/>
  <c r="D29" i="5" s="1"/>
  <c r="R11" i="4"/>
  <c r="E30" i="5" s="1"/>
  <c r="P15" i="5"/>
  <c r="U36" i="4"/>
  <c r="K17" i="5"/>
  <c r="C24" i="1"/>
  <c r="D24" i="1" s="1"/>
  <c r="K10" i="16"/>
  <c r="D245" i="11"/>
  <c r="E245" i="11" s="1"/>
  <c r="G245" i="11" s="1"/>
  <c r="E244" i="11"/>
  <c r="G244" i="11" s="1"/>
  <c r="D202" i="11"/>
  <c r="E201" i="11"/>
  <c r="G201" i="11" s="1"/>
  <c r="E179" i="11"/>
  <c r="G179" i="11" s="1"/>
  <c r="D180" i="11"/>
  <c r="D157" i="11"/>
  <c r="E156" i="11"/>
  <c r="G156" i="11" s="1"/>
  <c r="D91" i="11"/>
  <c r="E90" i="11"/>
  <c r="G90" i="11" s="1"/>
  <c r="D114" i="11"/>
  <c r="E113" i="11"/>
  <c r="E13" i="16"/>
  <c r="I42" i="11"/>
  <c r="K42" i="11" s="1"/>
  <c r="E38" i="5"/>
  <c r="O10" i="4"/>
  <c r="M11" i="4" s="1"/>
  <c r="F7" i="1"/>
  <c r="G7" i="1" s="1"/>
  <c r="E8" i="1" s="1"/>
  <c r="H8" i="1" s="1"/>
  <c r="F19" i="8" s="1"/>
  <c r="W46" i="22" l="1"/>
  <c r="D92" i="26"/>
  <c r="AL8" i="22"/>
  <c r="O80" i="26"/>
  <c r="D78" i="26"/>
  <c r="N78" i="26" s="1"/>
  <c r="D119" i="26"/>
  <c r="N119" i="26" s="1"/>
  <c r="O121" i="26"/>
  <c r="I8" i="22"/>
  <c r="E33" i="23"/>
  <c r="R8" i="22" s="1"/>
  <c r="N98" i="28"/>
  <c r="R20" i="28"/>
  <c r="N21" i="28"/>
  <c r="N26" i="28" s="1"/>
  <c r="L36" i="28"/>
  <c r="L47" i="28" s="1"/>
  <c r="L49" i="28" s="1"/>
  <c r="R34" i="28"/>
  <c r="R36" i="28" s="1"/>
  <c r="R47" i="28" s="1"/>
  <c r="R49" i="28" s="1"/>
  <c r="E50" i="23"/>
  <c r="I6" i="22"/>
  <c r="E16" i="23"/>
  <c r="R6" i="22" s="1"/>
  <c r="I7" i="22"/>
  <c r="E25" i="23"/>
  <c r="R7" i="22" s="1"/>
  <c r="L10" i="28"/>
  <c r="AL6" i="22"/>
  <c r="D37" i="26"/>
  <c r="O39" i="26"/>
  <c r="AL7" i="22"/>
  <c r="O60" i="26"/>
  <c r="D58" i="26"/>
  <c r="O101" i="26"/>
  <c r="D98" i="26"/>
  <c r="N98" i="26" s="1"/>
  <c r="D136" i="11"/>
  <c r="E136" i="11" s="1"/>
  <c r="G136" i="11" s="1"/>
  <c r="AC79" i="22"/>
  <c r="F47" i="22"/>
  <c r="Z18" i="22"/>
  <c r="C12" i="22"/>
  <c r="F13" i="16"/>
  <c r="AF49" i="22"/>
  <c r="W19" i="22"/>
  <c r="AC9" i="21"/>
  <c r="AL9" i="21"/>
  <c r="AO34" i="21"/>
  <c r="AO35" i="21" s="1"/>
  <c r="AI41" i="21" s="1"/>
  <c r="AF9" i="21"/>
  <c r="AF10" i="21"/>
  <c r="W10" i="21"/>
  <c r="W17" i="21" s="1"/>
  <c r="E31" i="5"/>
  <c r="C25" i="1"/>
  <c r="D25" i="1" s="1"/>
  <c r="N10" i="16"/>
  <c r="L10" i="16"/>
  <c r="G230" i="11"/>
  <c r="D203" i="11"/>
  <c r="E203" i="11" s="1"/>
  <c r="G203" i="11" s="1"/>
  <c r="E202" i="11"/>
  <c r="G202" i="11" s="1"/>
  <c r="D181" i="11"/>
  <c r="E180" i="11"/>
  <c r="G180" i="11" s="1"/>
  <c r="D158" i="11"/>
  <c r="E157" i="11"/>
  <c r="G157" i="11" s="1"/>
  <c r="D328" i="11"/>
  <c r="E327" i="11"/>
  <c r="G327" i="11" s="1"/>
  <c r="D92" i="11"/>
  <c r="E91" i="11"/>
  <c r="G91" i="11" s="1"/>
  <c r="G135" i="11"/>
  <c r="G113" i="11"/>
  <c r="D115" i="11"/>
  <c r="E114" i="11"/>
  <c r="G114" i="11" s="1"/>
  <c r="E14" i="16"/>
  <c r="I43" i="11"/>
  <c r="K43" i="11" s="1"/>
  <c r="D12" i="4"/>
  <c r="E12" i="4" s="1"/>
  <c r="F12" i="4" s="1"/>
  <c r="D23" i="2"/>
  <c r="J25" i="2" s="1"/>
  <c r="I23" i="2" s="1"/>
  <c r="N23" i="2" s="1"/>
  <c r="N11" i="4"/>
  <c r="O11" i="4" s="1"/>
  <c r="W11" i="4"/>
  <c r="D21" i="1"/>
  <c r="F8" i="1"/>
  <c r="J94" i="26" l="1"/>
  <c r="I92" i="26" s="1"/>
  <c r="N92" i="26" s="1"/>
  <c r="E94" i="26"/>
  <c r="O94" i="26" s="1"/>
  <c r="R37" i="22"/>
  <c r="O38" i="22" s="1"/>
  <c r="D137" i="11"/>
  <c r="E137" i="11" s="1"/>
  <c r="AP8" i="22"/>
  <c r="N37" i="26"/>
  <c r="AP6" i="22"/>
  <c r="N58" i="26"/>
  <c r="AP7" i="22"/>
  <c r="AP30" i="22" s="1"/>
  <c r="AL37" i="22"/>
  <c r="AI38" i="22" s="1"/>
  <c r="D66" i="28"/>
  <c r="R62" i="28"/>
  <c r="R10" i="28"/>
  <c r="R74" i="28"/>
  <c r="I37" i="22"/>
  <c r="I38" i="22" s="1"/>
  <c r="AC80" i="22"/>
  <c r="F48" i="22"/>
  <c r="F14" i="16"/>
  <c r="W21" i="22"/>
  <c r="AF50" i="22"/>
  <c r="Z20" i="22"/>
  <c r="C13" i="22"/>
  <c r="AF24" i="21"/>
  <c r="D44" i="5"/>
  <c r="C26" i="1"/>
  <c r="D26" i="1" s="1"/>
  <c r="J11" i="16"/>
  <c r="G188" i="11"/>
  <c r="D182" i="11"/>
  <c r="E182" i="11" s="1"/>
  <c r="G182" i="11" s="1"/>
  <c r="E181" i="11"/>
  <c r="G181" i="11" s="1"/>
  <c r="E158" i="11"/>
  <c r="G158" i="11" s="1"/>
  <c r="D159" i="11"/>
  <c r="D329" i="11"/>
  <c r="E329" i="11" s="1"/>
  <c r="G329" i="11" s="1"/>
  <c r="E328" i="11"/>
  <c r="G328" i="11" s="1"/>
  <c r="D93" i="11"/>
  <c r="E92" i="11"/>
  <c r="G92" i="11" s="1"/>
  <c r="D116" i="11"/>
  <c r="E115" i="11"/>
  <c r="G115" i="11" s="1"/>
  <c r="E15" i="16"/>
  <c r="I44" i="11"/>
  <c r="K44" i="11" s="1"/>
  <c r="D13" i="4"/>
  <c r="E13" i="4" s="1"/>
  <c r="F13" i="4" s="1"/>
  <c r="G8" i="1"/>
  <c r="E9" i="1" s="1"/>
  <c r="L11" i="4"/>
  <c r="J12" i="4" s="1"/>
  <c r="X11" i="4"/>
  <c r="I8" i="1"/>
  <c r="M12" i="4"/>
  <c r="D23" i="1"/>
  <c r="W77" i="22" l="1"/>
  <c r="D114" i="26"/>
  <c r="J116" i="26" s="1"/>
  <c r="I114" i="26" s="1"/>
  <c r="N114" i="26" s="1"/>
  <c r="D138" i="11"/>
  <c r="D69" i="28"/>
  <c r="T62" i="28"/>
  <c r="W62" i="28"/>
  <c r="R64" i="28"/>
  <c r="R75" i="28"/>
  <c r="W74" i="28"/>
  <c r="D67" i="28"/>
  <c r="I66" i="28"/>
  <c r="AC81" i="22"/>
  <c r="F49" i="22"/>
  <c r="F15" i="16"/>
  <c r="W23" i="22"/>
  <c r="AF51" i="22"/>
  <c r="Z22" i="22"/>
  <c r="C14" i="22"/>
  <c r="W40" i="21"/>
  <c r="C27" i="1"/>
  <c r="D27" i="1" s="1"/>
  <c r="D33" i="1" s="1"/>
  <c r="K11" i="16"/>
  <c r="D113" i="26" s="1"/>
  <c r="G167" i="11"/>
  <c r="D160" i="11"/>
  <c r="E159" i="11"/>
  <c r="G159" i="11" s="1"/>
  <c r="G314" i="11"/>
  <c r="D94" i="11"/>
  <c r="E93" i="11"/>
  <c r="G93" i="11" s="1"/>
  <c r="G137" i="11"/>
  <c r="E138" i="11"/>
  <c r="G138" i="11" s="1"/>
  <c r="D139" i="11"/>
  <c r="D117" i="11"/>
  <c r="E116" i="11"/>
  <c r="G116" i="11" s="1"/>
  <c r="E16" i="16"/>
  <c r="I45" i="11"/>
  <c r="K45" i="11" s="1"/>
  <c r="Y11" i="4"/>
  <c r="Z11" i="4" s="1"/>
  <c r="D43" i="5"/>
  <c r="G19" i="8"/>
  <c r="F9" i="1"/>
  <c r="N12" i="4"/>
  <c r="L12" i="4" s="1"/>
  <c r="J13" i="4" s="1"/>
  <c r="J8" i="1"/>
  <c r="D19" i="8" s="1"/>
  <c r="J115" i="26" l="1"/>
  <c r="I113" i="26" s="1"/>
  <c r="N113" i="26" s="1"/>
  <c r="E115" i="26"/>
  <c r="O115" i="26" s="1"/>
  <c r="R76" i="28"/>
  <c r="F15" i="28"/>
  <c r="N66" i="28"/>
  <c r="I67" i="28"/>
  <c r="AA62" i="28"/>
  <c r="T63" i="28"/>
  <c r="W63" i="28" s="1"/>
  <c r="AA74" i="28"/>
  <c r="D24" i="28"/>
  <c r="W75" i="28"/>
  <c r="D72" i="28"/>
  <c r="D76" i="28" s="1"/>
  <c r="D99" i="28" s="1"/>
  <c r="F69" i="28"/>
  <c r="I69" i="28"/>
  <c r="AC82" i="22"/>
  <c r="F50" i="22"/>
  <c r="N11" i="16"/>
  <c r="W47" i="22"/>
  <c r="F16" i="16"/>
  <c r="W25" i="22"/>
  <c r="AF52" i="22"/>
  <c r="Z24" i="22"/>
  <c r="C15" i="22"/>
  <c r="AO7" i="21"/>
  <c r="D14" i="4"/>
  <c r="E14" i="4" s="1"/>
  <c r="F14" i="4" s="1"/>
  <c r="E24" i="2"/>
  <c r="O24" i="2" s="1"/>
  <c r="D13" i="2"/>
  <c r="D14" i="2" s="1"/>
  <c r="C28" i="1"/>
  <c r="L11" i="16"/>
  <c r="D161" i="11"/>
  <c r="E161" i="11" s="1"/>
  <c r="G161" i="11" s="1"/>
  <c r="E160" i="11"/>
  <c r="G160" i="11" s="1"/>
  <c r="D95" i="11"/>
  <c r="E94" i="11"/>
  <c r="E139" i="11"/>
  <c r="G139" i="11" s="1"/>
  <c r="D140" i="11"/>
  <c r="E140" i="11" s="1"/>
  <c r="D118" i="11"/>
  <c r="E117" i="11"/>
  <c r="G117" i="11" s="1"/>
  <c r="E17" i="16"/>
  <c r="I46" i="11"/>
  <c r="K46" i="11" s="1"/>
  <c r="E45" i="5"/>
  <c r="Z8" i="21" s="1"/>
  <c r="D22" i="2"/>
  <c r="J24" i="2" s="1"/>
  <c r="I22" i="2" s="1"/>
  <c r="N22" i="2" s="1"/>
  <c r="E19" i="8"/>
  <c r="G9" i="1"/>
  <c r="E10" i="1" s="1"/>
  <c r="O12" i="4"/>
  <c r="T64" i="28" l="1"/>
  <c r="T76" i="28" s="1"/>
  <c r="AA63" i="28"/>
  <c r="AA64" i="28" s="1"/>
  <c r="D12" i="28"/>
  <c r="N69" i="28"/>
  <c r="F70" i="28"/>
  <c r="I70" i="28" s="1"/>
  <c r="F72" i="28"/>
  <c r="F76" i="28" s="1"/>
  <c r="W64" i="28"/>
  <c r="W76" i="28" s="1"/>
  <c r="I24" i="28"/>
  <c r="I25" i="28" s="1"/>
  <c r="D25" i="28"/>
  <c r="AA75" i="28"/>
  <c r="N67" i="28"/>
  <c r="F16" i="28"/>
  <c r="H16" i="28" s="1"/>
  <c r="I15" i="28"/>
  <c r="I16" i="28" s="1"/>
  <c r="L15" i="28"/>
  <c r="AC83" i="22"/>
  <c r="F51" i="22"/>
  <c r="Z26" i="22"/>
  <c r="C16" i="22"/>
  <c r="F17" i="16"/>
  <c r="W27" i="22"/>
  <c r="AF53" i="22"/>
  <c r="D48" i="5"/>
  <c r="E15" i="2"/>
  <c r="I13" i="2" s="1"/>
  <c r="J15" i="2"/>
  <c r="E16" i="2"/>
  <c r="O14" i="2" s="1"/>
  <c r="N13" i="2"/>
  <c r="C29" i="1"/>
  <c r="J12" i="16"/>
  <c r="G146" i="11"/>
  <c r="G94" i="11"/>
  <c r="E95" i="11"/>
  <c r="G95" i="11" s="1"/>
  <c r="D96" i="11"/>
  <c r="G140" i="11"/>
  <c r="D119" i="11"/>
  <c r="E119" i="11" s="1"/>
  <c r="E118" i="11"/>
  <c r="G118" i="11" s="1"/>
  <c r="E18" i="16"/>
  <c r="I47" i="11"/>
  <c r="K47" i="11" s="1"/>
  <c r="F10" i="1"/>
  <c r="M13" i="4"/>
  <c r="L24" i="28" l="1"/>
  <c r="R24" i="28" s="1"/>
  <c r="R25" i="28" s="1"/>
  <c r="AA76" i="28"/>
  <c r="F19" i="28"/>
  <c r="F21" i="28" s="1"/>
  <c r="F26" i="28" s="1"/>
  <c r="N70" i="28"/>
  <c r="N72" i="28" s="1"/>
  <c r="N76" i="28" s="1"/>
  <c r="I72" i="28"/>
  <c r="I76" i="28" s="1"/>
  <c r="L16" i="28"/>
  <c r="R15" i="28"/>
  <c r="R16" i="28" s="1"/>
  <c r="I12" i="28"/>
  <c r="L12" i="28" s="1"/>
  <c r="D13" i="28"/>
  <c r="D26" i="28" s="1"/>
  <c r="AC84" i="22"/>
  <c r="F52" i="22"/>
  <c r="K12" i="16"/>
  <c r="W78" i="22"/>
  <c r="F18" i="16"/>
  <c r="W29" i="22"/>
  <c r="AF54" i="22"/>
  <c r="Z28" i="22"/>
  <c r="C17" i="22"/>
  <c r="D15" i="4"/>
  <c r="E15" i="4" s="1"/>
  <c r="F15" i="4" s="1"/>
  <c r="C30" i="1"/>
  <c r="N12" i="16"/>
  <c r="D97" i="11"/>
  <c r="E96" i="11"/>
  <c r="G125" i="11"/>
  <c r="G119" i="11"/>
  <c r="E19" i="16"/>
  <c r="D130" i="26" s="1"/>
  <c r="I48" i="11"/>
  <c r="K48" i="11" s="1"/>
  <c r="G10" i="1"/>
  <c r="E11" i="1" s="1"/>
  <c r="N13" i="4"/>
  <c r="L13" i="4" s="1"/>
  <c r="J14" i="4" s="1"/>
  <c r="L25" i="28" l="1"/>
  <c r="R12" i="28"/>
  <c r="R13" i="28" s="1"/>
  <c r="L13" i="28"/>
  <c r="I19" i="28"/>
  <c r="I13" i="28"/>
  <c r="E131" i="26"/>
  <c r="N130" i="26"/>
  <c r="AC85" i="22"/>
  <c r="F53" i="22"/>
  <c r="L12" i="16"/>
  <c r="J13" i="16" s="1"/>
  <c r="W48" i="22"/>
  <c r="Z30" i="22"/>
  <c r="C18" i="22"/>
  <c r="F19" i="16"/>
  <c r="E144" i="26" s="1"/>
  <c r="W31" i="22"/>
  <c r="AF55" i="22"/>
  <c r="D16" i="4"/>
  <c r="E16" i="4" s="1"/>
  <c r="F16" i="4" s="1"/>
  <c r="C31" i="1"/>
  <c r="G96" i="11"/>
  <c r="D98" i="11"/>
  <c r="E98" i="11" s="1"/>
  <c r="G98" i="11" s="1"/>
  <c r="E97" i="11"/>
  <c r="G97" i="11" s="1"/>
  <c r="G104" i="11"/>
  <c r="E20" i="16"/>
  <c r="E151" i="26" s="1"/>
  <c r="I49" i="11"/>
  <c r="K49" i="11" s="1"/>
  <c r="F11" i="1"/>
  <c r="O13" i="4"/>
  <c r="L19" i="28" l="1"/>
  <c r="I21" i="28"/>
  <c r="I26" i="28" s="1"/>
  <c r="D150" i="26"/>
  <c r="O151" i="26"/>
  <c r="O144" i="26"/>
  <c r="D141" i="26"/>
  <c r="O131" i="26"/>
  <c r="W79" i="22"/>
  <c r="K13" i="16"/>
  <c r="AF56" i="22"/>
  <c r="AF67" i="22" s="1"/>
  <c r="AF68" i="22" s="1"/>
  <c r="AL73" i="22" s="1"/>
  <c r="AL97" i="22" s="1"/>
  <c r="W33" i="22"/>
  <c r="W37" i="22" s="1"/>
  <c r="Z32" i="22"/>
  <c r="D59" i="23"/>
  <c r="C19" i="22"/>
  <c r="C32" i="1"/>
  <c r="L32" i="1" s="1"/>
  <c r="D21" i="8" s="1"/>
  <c r="D55" i="2" s="1"/>
  <c r="G83" i="11"/>
  <c r="I50" i="11"/>
  <c r="E21" i="16"/>
  <c r="E5" i="16" s="1"/>
  <c r="G11" i="1"/>
  <c r="E12" i="1" s="1"/>
  <c r="M14" i="4"/>
  <c r="I51" i="11" l="1"/>
  <c r="K50" i="11"/>
  <c r="K51" i="11" s="1"/>
  <c r="L21" i="28"/>
  <c r="L26" i="28" s="1"/>
  <c r="R19" i="28"/>
  <c r="R21" i="28" s="1"/>
  <c r="R26" i="28" s="1"/>
  <c r="J142" i="26"/>
  <c r="I141" i="26" s="1"/>
  <c r="N141" i="26" s="1"/>
  <c r="N150" i="26"/>
  <c r="E61" i="23"/>
  <c r="F54" i="22" s="1"/>
  <c r="AC86" i="22"/>
  <c r="L13" i="16"/>
  <c r="J14" i="16" s="1"/>
  <c r="W49" i="22"/>
  <c r="N13" i="16"/>
  <c r="D17" i="4"/>
  <c r="D56" i="2"/>
  <c r="N55" i="2"/>
  <c r="E58" i="2"/>
  <c r="O56" i="2" s="1"/>
  <c r="C33" i="1"/>
  <c r="F21" i="16"/>
  <c r="F12" i="1"/>
  <c r="N14" i="4"/>
  <c r="L14" i="4" s="1"/>
  <c r="J15" i="4" s="1"/>
  <c r="L51" i="11" l="1"/>
  <c r="W80" i="22"/>
  <c r="K14" i="16"/>
  <c r="L42" i="22"/>
  <c r="C21" i="22"/>
  <c r="D75" i="23"/>
  <c r="E76" i="23" s="1"/>
  <c r="E17" i="4"/>
  <c r="F17" i="4" s="1"/>
  <c r="E57" i="2"/>
  <c r="I55" i="2" s="1"/>
  <c r="J57" i="2"/>
  <c r="C34" i="1"/>
  <c r="G12" i="1"/>
  <c r="E13" i="1" s="1"/>
  <c r="O14" i="4"/>
  <c r="L14" i="16" l="1"/>
  <c r="W50" i="22"/>
  <c r="N14" i="16"/>
  <c r="R43" i="22"/>
  <c r="L66" i="22"/>
  <c r="L67" i="22" s="1"/>
  <c r="D18" i="4"/>
  <c r="E18" i="4" s="1"/>
  <c r="F18" i="4" s="1"/>
  <c r="C35" i="1"/>
  <c r="F13" i="1"/>
  <c r="G13" i="1" s="1"/>
  <c r="E14" i="1" s="1"/>
  <c r="F14" i="1" s="1"/>
  <c r="G14" i="1" s="1"/>
  <c r="E15" i="1" s="1"/>
  <c r="F15" i="1" s="1"/>
  <c r="G15" i="1" s="1"/>
  <c r="E16" i="1" s="1"/>
  <c r="F16" i="1" s="1"/>
  <c r="G16" i="1" s="1"/>
  <c r="E17" i="1" s="1"/>
  <c r="F17" i="1" s="1"/>
  <c r="G17" i="1" s="1"/>
  <c r="E18" i="1" s="1"/>
  <c r="F18" i="1" s="1"/>
  <c r="M15" i="4"/>
  <c r="J15" i="16" l="1"/>
  <c r="D19" i="4"/>
  <c r="E19" i="4" s="1"/>
  <c r="F19" i="4" s="1"/>
  <c r="C36" i="1"/>
  <c r="G18" i="1"/>
  <c r="E19" i="1" s="1"/>
  <c r="F19" i="1" s="1"/>
  <c r="N15" i="4"/>
  <c r="L15" i="4" s="1"/>
  <c r="J16" i="4" s="1"/>
  <c r="K15" i="16" l="1"/>
  <c r="W81" i="22"/>
  <c r="D20" i="4"/>
  <c r="E20" i="4" s="1"/>
  <c r="F20" i="4" s="1"/>
  <c r="C37" i="1"/>
  <c r="O15" i="4"/>
  <c r="G19" i="1"/>
  <c r="E20" i="1" s="1"/>
  <c r="N15" i="16" l="1"/>
  <c r="W51" i="22"/>
  <c r="L15" i="16"/>
  <c r="D21" i="4"/>
  <c r="E21" i="4" s="1"/>
  <c r="F21" i="4" s="1"/>
  <c r="C38" i="1"/>
  <c r="M16" i="4"/>
  <c r="H20" i="1"/>
  <c r="F20" i="8" s="1"/>
  <c r="F20" i="1"/>
  <c r="J16" i="16" l="1"/>
  <c r="D22" i="4"/>
  <c r="C39" i="1"/>
  <c r="D44" i="2"/>
  <c r="J46" i="2" s="1"/>
  <c r="I44" i="2" s="1"/>
  <c r="N44" i="2" s="1"/>
  <c r="N16" i="4"/>
  <c r="L16" i="4" s="1"/>
  <c r="J17" i="4" s="1"/>
  <c r="G20" i="1"/>
  <c r="E21" i="1" s="1"/>
  <c r="I20" i="1"/>
  <c r="G20" i="8" s="1"/>
  <c r="D43" i="2" s="1"/>
  <c r="K16" i="16" l="1"/>
  <c r="W82" i="22"/>
  <c r="E22" i="4"/>
  <c r="F22" i="4" s="1"/>
  <c r="C40" i="1"/>
  <c r="E20" i="8"/>
  <c r="D34" i="2" s="1"/>
  <c r="J20" i="1"/>
  <c r="D20" i="8" s="1"/>
  <c r="E45" i="2" s="1"/>
  <c r="O16" i="4"/>
  <c r="F21" i="1"/>
  <c r="N16" i="16" l="1"/>
  <c r="W52" i="22"/>
  <c r="L16" i="16"/>
  <c r="J17" i="16" s="1"/>
  <c r="D23" i="4"/>
  <c r="E23" i="4" s="1"/>
  <c r="F23" i="4" s="1"/>
  <c r="R23" i="4" s="1"/>
  <c r="K9" i="5" s="1"/>
  <c r="N34" i="2"/>
  <c r="D35" i="2"/>
  <c r="E37" i="2"/>
  <c r="O35" i="2" s="1"/>
  <c r="C41" i="1"/>
  <c r="O45" i="2"/>
  <c r="J45" i="2"/>
  <c r="I43" i="2" s="1"/>
  <c r="N43" i="2" s="1"/>
  <c r="M17" i="4"/>
  <c r="G21" i="1"/>
  <c r="E22" i="1" s="1"/>
  <c r="W83" i="22" l="1"/>
  <c r="K17" i="16"/>
  <c r="N17" i="16" s="1"/>
  <c r="AL10" i="21"/>
  <c r="Q23" i="4"/>
  <c r="J8" i="5" s="1"/>
  <c r="D24" i="4"/>
  <c r="E24" i="4" s="1"/>
  <c r="F24" i="4" s="1"/>
  <c r="J36" i="2"/>
  <c r="E36" i="2"/>
  <c r="I34" i="2" s="1"/>
  <c r="C42" i="1"/>
  <c r="N17" i="4"/>
  <c r="O17" i="4" s="1"/>
  <c r="M18" i="4" s="1"/>
  <c r="F22" i="1"/>
  <c r="L17" i="16" l="1"/>
  <c r="J18" i="16" s="1"/>
  <c r="W53" i="22"/>
  <c r="AC10" i="21"/>
  <c r="K10" i="5"/>
  <c r="C43" i="1"/>
  <c r="L17" i="4"/>
  <c r="J18" i="4" s="1"/>
  <c r="G22" i="1"/>
  <c r="E23" i="1" s="1"/>
  <c r="W84" i="22" l="1"/>
  <c r="K18" i="16"/>
  <c r="N18" i="16"/>
  <c r="AF25" i="21"/>
  <c r="D25" i="4"/>
  <c r="E25" i="4" s="1"/>
  <c r="F25" i="4" s="1"/>
  <c r="C44" i="1"/>
  <c r="N18" i="4"/>
  <c r="F23" i="1"/>
  <c r="L18" i="16" l="1"/>
  <c r="J19" i="16" s="1"/>
  <c r="D136" i="26" s="1"/>
  <c r="W54" i="22"/>
  <c r="D26" i="4"/>
  <c r="E26" i="4" s="1"/>
  <c r="F26" i="4" s="1"/>
  <c r="C45" i="1"/>
  <c r="O18" i="4"/>
  <c r="M19" i="4" s="1"/>
  <c r="L18" i="4"/>
  <c r="J19" i="4" s="1"/>
  <c r="G23" i="1"/>
  <c r="E24" i="1" s="1"/>
  <c r="J138" i="26" l="1"/>
  <c r="I136" i="26" s="1"/>
  <c r="N136" i="26" s="1"/>
  <c r="W85" i="22"/>
  <c r="K19" i="16"/>
  <c r="D135" i="26" s="1"/>
  <c r="N19" i="16"/>
  <c r="C46" i="1"/>
  <c r="N19" i="4"/>
  <c r="O19" i="4" s="1"/>
  <c r="M20" i="4" s="1"/>
  <c r="F24" i="1"/>
  <c r="J137" i="26" l="1"/>
  <c r="I135" i="26" s="1"/>
  <c r="E137" i="26"/>
  <c r="O137" i="26" s="1"/>
  <c r="L19" i="16"/>
  <c r="K20" i="16" s="1"/>
  <c r="W55" i="22"/>
  <c r="D27" i="4"/>
  <c r="E27" i="4" s="1"/>
  <c r="F27" i="4" s="1"/>
  <c r="C47" i="1"/>
  <c r="L19" i="4"/>
  <c r="J20" i="4" s="1"/>
  <c r="G24" i="1"/>
  <c r="E25" i="1" s="1"/>
  <c r="N135" i="26" l="1"/>
  <c r="J20" i="16"/>
  <c r="D156" i="26" s="1"/>
  <c r="D28" i="4"/>
  <c r="E28" i="4" s="1"/>
  <c r="F28" i="4" s="1"/>
  <c r="C48" i="1"/>
  <c r="N20" i="4"/>
  <c r="F25" i="1"/>
  <c r="J158" i="26" l="1"/>
  <c r="I156" i="26" s="1"/>
  <c r="N156" i="26" s="1"/>
  <c r="L20" i="16"/>
  <c r="D155" i="26"/>
  <c r="J21" i="16"/>
  <c r="K21" i="16"/>
  <c r="L21" i="16" s="1"/>
  <c r="W86" i="22"/>
  <c r="W97" i="22" s="1"/>
  <c r="W98" i="22" s="1"/>
  <c r="AI76" i="22" s="1"/>
  <c r="I20" i="16"/>
  <c r="J5" i="16"/>
  <c r="W56" i="22"/>
  <c r="W67" i="22" s="1"/>
  <c r="Z68" i="22" s="1"/>
  <c r="K5" i="16"/>
  <c r="C49" i="1"/>
  <c r="O20" i="4"/>
  <c r="M21" i="4" s="1"/>
  <c r="L20" i="4"/>
  <c r="J21" i="4" s="1"/>
  <c r="G25" i="1"/>
  <c r="E26" i="1" s="1"/>
  <c r="N20" i="16" l="1"/>
  <c r="I5" i="16"/>
  <c r="J157" i="26"/>
  <c r="I155" i="26" s="1"/>
  <c r="E157" i="26"/>
  <c r="Z33" i="22"/>
  <c r="F20" i="16"/>
  <c r="F5" i="16" s="1"/>
  <c r="N21" i="16"/>
  <c r="D29" i="4"/>
  <c r="C51" i="1"/>
  <c r="N21" i="4"/>
  <c r="L21" i="4" s="1"/>
  <c r="J22" i="4" s="1"/>
  <c r="F26" i="1"/>
  <c r="G26" i="1" s="1"/>
  <c r="E27" i="1" s="1"/>
  <c r="N155" i="26" l="1"/>
  <c r="D67" i="23"/>
  <c r="E69" i="23" s="1"/>
  <c r="F55" i="22" s="1"/>
  <c r="E168" i="26"/>
  <c r="O157" i="26"/>
  <c r="Z34" i="22"/>
  <c r="Z37" i="22" s="1"/>
  <c r="W38" i="22" s="1"/>
  <c r="C20" i="22"/>
  <c r="C37" i="22" s="1"/>
  <c r="C38" i="22" s="1"/>
  <c r="O42" i="22" s="1"/>
  <c r="O66" i="22" s="1"/>
  <c r="E29" i="4"/>
  <c r="F29" i="4" s="1"/>
  <c r="C52" i="1"/>
  <c r="F27" i="1"/>
  <c r="I32" i="1" s="1"/>
  <c r="G21" i="8" s="1"/>
  <c r="E33" i="1"/>
  <c r="H32" i="1"/>
  <c r="F21" i="8" s="1"/>
  <c r="O21" i="4"/>
  <c r="M22" i="4" s="1"/>
  <c r="O168" i="26" l="1"/>
  <c r="D166" i="26"/>
  <c r="D177" i="26" s="1"/>
  <c r="D30" i="4"/>
  <c r="E30" i="4" s="1"/>
  <c r="F30" i="4" s="1"/>
  <c r="C53" i="1"/>
  <c r="E21" i="8"/>
  <c r="E66" i="2" s="1"/>
  <c r="G22" i="8"/>
  <c r="D64" i="2"/>
  <c r="F22" i="8"/>
  <c r="D65" i="2"/>
  <c r="J67" i="2" s="1"/>
  <c r="I65" i="2" s="1"/>
  <c r="N65" i="2" s="1"/>
  <c r="H33" i="1"/>
  <c r="G27" i="1"/>
  <c r="F33" i="1"/>
  <c r="N22" i="4"/>
  <c r="O22" i="4" s="1"/>
  <c r="I33" i="1"/>
  <c r="J32" i="1"/>
  <c r="J167" i="26" l="1"/>
  <c r="I166" i="26" s="1"/>
  <c r="AC87" i="22"/>
  <c r="F66" i="22"/>
  <c r="F67" i="22" s="1"/>
  <c r="L69" i="22" s="1"/>
  <c r="L70" i="22" s="1"/>
  <c r="D81" i="23"/>
  <c r="D31" i="4"/>
  <c r="E31" i="4" s="1"/>
  <c r="F31" i="4" s="1"/>
  <c r="C54" i="1"/>
  <c r="E8" i="2"/>
  <c r="I7" i="2" s="1"/>
  <c r="D7" i="2"/>
  <c r="L22" i="4"/>
  <c r="J23" i="4" s="1"/>
  <c r="M23" i="4"/>
  <c r="J33" i="1"/>
  <c r="O66" i="2"/>
  <c r="J66" i="2"/>
  <c r="I64" i="2" s="1"/>
  <c r="N64" i="2" s="1"/>
  <c r="N166" i="26" l="1"/>
  <c r="N177" i="26" s="1"/>
  <c r="I177" i="26"/>
  <c r="AC97" i="22"/>
  <c r="AC98" i="22" s="1"/>
  <c r="AI78" i="22" s="1"/>
  <c r="AI97" i="22" s="1"/>
  <c r="AI98" i="22" s="1"/>
  <c r="AS31" i="22"/>
  <c r="R42" i="22"/>
  <c r="R66" i="22" s="1"/>
  <c r="R67" i="22" s="1"/>
  <c r="D32" i="4"/>
  <c r="E32" i="4" s="1"/>
  <c r="F32" i="4" s="1"/>
  <c r="C56" i="1"/>
  <c r="N7" i="2"/>
  <c r="D75" i="2"/>
  <c r="W23" i="4"/>
  <c r="N23" i="4"/>
  <c r="L23" i="4" s="1"/>
  <c r="J24" i="4" s="1"/>
  <c r="J8" i="2"/>
  <c r="I75" i="2" s="1"/>
  <c r="D33" i="4" l="1"/>
  <c r="E33" i="4" s="1"/>
  <c r="F33" i="4" s="1"/>
  <c r="J23" i="5"/>
  <c r="C57" i="1"/>
  <c r="O23" i="4"/>
  <c r="X23" i="4"/>
  <c r="J22" i="5" s="1"/>
  <c r="O8" i="2"/>
  <c r="N75" i="2" s="1"/>
  <c r="W41" i="21" l="1"/>
  <c r="AO8" i="21"/>
  <c r="C58" i="1"/>
  <c r="K24" i="5"/>
  <c r="Z9" i="21" s="1"/>
  <c r="Y23" i="4"/>
  <c r="Z23" i="4" s="1"/>
  <c r="M24" i="4"/>
  <c r="D34" i="4" l="1"/>
  <c r="J48" i="5"/>
  <c r="C60" i="1"/>
  <c r="N24" i="4"/>
  <c r="E34" i="4" l="1"/>
  <c r="C61" i="1"/>
  <c r="C62" i="1"/>
  <c r="O24" i="4"/>
  <c r="M25" i="4" s="1"/>
  <c r="L24" i="4"/>
  <c r="D35" i="4" l="1"/>
  <c r="F34" i="4"/>
  <c r="J25" i="4"/>
  <c r="N25" i="4" s="1"/>
  <c r="C64" i="1"/>
  <c r="D33" i="8"/>
  <c r="E35" i="4" l="1"/>
  <c r="O25" i="4"/>
  <c r="M26" i="4" s="1"/>
  <c r="L25" i="4"/>
  <c r="F35" i="4" l="1"/>
  <c r="R35" i="4" s="1"/>
  <c r="Q9" i="5" s="1"/>
  <c r="P29" i="5" s="1"/>
  <c r="D36" i="4"/>
  <c r="Q35" i="4"/>
  <c r="P8" i="5" s="1"/>
  <c r="J26" i="4"/>
  <c r="N26" i="4" s="1"/>
  <c r="E30" i="14" l="1"/>
  <c r="AI12" i="21"/>
  <c r="AI17" i="21" s="1"/>
  <c r="AC11" i="21"/>
  <c r="AC17" i="21" s="1"/>
  <c r="Q32" i="5"/>
  <c r="E36" i="4"/>
  <c r="F36" i="4" s="1"/>
  <c r="Q10" i="5"/>
  <c r="AL11" i="21"/>
  <c r="AL17" i="21" s="1"/>
  <c r="O26" i="4"/>
  <c r="M27" i="4" s="1"/>
  <c r="L26" i="4"/>
  <c r="AF12" i="21" l="1"/>
  <c r="AF17" i="21" s="1"/>
  <c r="AC18" i="21" s="1"/>
  <c r="F24" i="21"/>
  <c r="D28" i="14"/>
  <c r="O7" i="21" s="1"/>
  <c r="AL18" i="21"/>
  <c r="O31" i="14"/>
  <c r="D37" i="4"/>
  <c r="AF26" i="21"/>
  <c r="AF34" i="21" s="1"/>
  <c r="AF35" i="21" s="1"/>
  <c r="J27" i="4"/>
  <c r="N27" i="4" s="1"/>
  <c r="E32" i="14" l="1"/>
  <c r="L24" i="21" s="1"/>
  <c r="N28" i="14"/>
  <c r="AL41" i="21"/>
  <c r="E37" i="4"/>
  <c r="F37" i="4" s="1"/>
  <c r="O27" i="4"/>
  <c r="M28" i="4" s="1"/>
  <c r="L27" i="4"/>
  <c r="L34" i="21" l="1"/>
  <c r="L35" i="21" s="1"/>
  <c r="L58" i="21" s="1"/>
  <c r="I28" i="14"/>
  <c r="D38" i="4"/>
  <c r="E38" i="4" s="1"/>
  <c r="F38" i="4" s="1"/>
  <c r="J28" i="4"/>
  <c r="N28" i="4" s="1"/>
  <c r="J30" i="14" l="1"/>
  <c r="O30" i="14" s="1"/>
  <c r="I62" i="14"/>
  <c r="D39" i="4"/>
  <c r="L28" i="4"/>
  <c r="O28" i="4"/>
  <c r="M29" i="4" s="1"/>
  <c r="E39" i="4" l="1"/>
  <c r="F39" i="4" s="1"/>
  <c r="J29" i="4"/>
  <c r="N29" i="4" s="1"/>
  <c r="O29" i="4" s="1"/>
  <c r="M30" i="4" s="1"/>
  <c r="D40" i="4" l="1"/>
  <c r="L29" i="4"/>
  <c r="J30" i="4" s="1"/>
  <c r="N30" i="4" s="1"/>
  <c r="L30" i="4" s="1"/>
  <c r="E40" i="4" l="1"/>
  <c r="F40" i="4" s="1"/>
  <c r="J31" i="4"/>
  <c r="O30" i="4"/>
  <c r="M31" i="4" s="1"/>
  <c r="D41" i="4" l="1"/>
  <c r="N31" i="4"/>
  <c r="O31" i="4" s="1"/>
  <c r="M32" i="4" s="1"/>
  <c r="E41" i="4" l="1"/>
  <c r="F41" i="4" s="1"/>
  <c r="L31" i="4"/>
  <c r="J32" i="4" s="1"/>
  <c r="D42" i="4" l="1"/>
  <c r="N32" i="4"/>
  <c r="E42" i="4" l="1"/>
  <c r="F42" i="4" s="1"/>
  <c r="O32" i="4"/>
  <c r="M33" i="4" s="1"/>
  <c r="L32" i="4"/>
  <c r="J33" i="4" s="1"/>
  <c r="D43" i="4" l="1"/>
  <c r="E43" i="4" s="1"/>
  <c r="F43" i="4" s="1"/>
  <c r="N33" i="4"/>
  <c r="O33" i="4" s="1"/>
  <c r="M34" i="4" s="1"/>
  <c r="D44" i="4" l="1"/>
  <c r="L33" i="4"/>
  <c r="J34" i="4" s="1"/>
  <c r="N34" i="4" s="1"/>
  <c r="E44" i="4" l="1"/>
  <c r="F44" i="4" s="1"/>
  <c r="O34" i="4"/>
  <c r="L34" i="4"/>
  <c r="J35" i="4" s="1"/>
  <c r="V35" i="4" s="1"/>
  <c r="D45" i="4" l="1"/>
  <c r="E45" i="4" s="1"/>
  <c r="F45" i="4" s="1"/>
  <c r="M35" i="4"/>
  <c r="W35" i="4" s="1"/>
  <c r="N35" i="4"/>
  <c r="X35" i="4" s="1"/>
  <c r="D46" i="4" l="1"/>
  <c r="O35" i="4"/>
  <c r="P23" i="5"/>
  <c r="AL51" i="21" s="1"/>
  <c r="W36" i="4"/>
  <c r="P22" i="5"/>
  <c r="AO9" i="21" s="1"/>
  <c r="AO17" i="21" s="1"/>
  <c r="AR18" i="21" s="1"/>
  <c r="X36" i="4"/>
  <c r="L35" i="4"/>
  <c r="Y35" i="4" s="1"/>
  <c r="Y36" i="4" s="1"/>
  <c r="X47" i="4"/>
  <c r="W42" i="21" l="1"/>
  <c r="W51" i="21" s="1"/>
  <c r="W52" i="21" s="1"/>
  <c r="AI42" i="21" s="1"/>
  <c r="E46" i="4"/>
  <c r="Z35" i="4"/>
  <c r="Q24" i="5"/>
  <c r="Z10" i="21" s="1"/>
  <c r="W47" i="4"/>
  <c r="Y47" i="4" s="1"/>
  <c r="F46" i="4" l="1"/>
  <c r="D47" i="4"/>
  <c r="E47" i="4" s="1"/>
  <c r="F47" i="4" s="1"/>
  <c r="Q33" i="5"/>
  <c r="R47" i="4" l="1"/>
  <c r="E44" i="14" s="1"/>
  <c r="F25" i="21" s="1"/>
  <c r="F34" i="21" s="1"/>
  <c r="F35" i="21" s="1"/>
  <c r="L57" i="21" s="1"/>
  <c r="Z11" i="21"/>
  <c r="Z17" i="21" s="1"/>
  <c r="W18" i="21" s="1"/>
  <c r="P31" i="5"/>
  <c r="AC41" i="21" s="1"/>
  <c r="AC51" i="21" s="1"/>
  <c r="AC52" i="21" s="1"/>
  <c r="AI43" i="21" s="1"/>
  <c r="AI51" i="21" s="1"/>
  <c r="AI52" i="21" s="1"/>
  <c r="Q47" i="4"/>
  <c r="D43" i="14" s="1"/>
  <c r="D27" i="14"/>
  <c r="O44" i="14" l="1"/>
  <c r="C8" i="21"/>
  <c r="C17" i="21" s="1"/>
  <c r="C18" i="21" s="1"/>
  <c r="I57" i="21" s="1"/>
  <c r="O8" i="21"/>
  <c r="O17" i="21" s="1"/>
  <c r="O18" i="21" s="1"/>
  <c r="I58" i="21" s="1"/>
  <c r="E45" i="14"/>
  <c r="R41" i="21" s="1"/>
  <c r="R51" i="21" s="1"/>
  <c r="R52" i="21" s="1"/>
  <c r="L62" i="21" s="1"/>
  <c r="L68" i="21" s="1"/>
  <c r="N43" i="14"/>
  <c r="P48" i="5"/>
  <c r="N27" i="14"/>
  <c r="O45" i="14" l="1"/>
  <c r="N62" i="14" s="1"/>
  <c r="I68" i="21"/>
  <c r="I69" i="21" s="1"/>
  <c r="D6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MLevine</author>
  </authors>
  <commentList>
    <comment ref="D2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Plug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MLevine</author>
  </authors>
  <commentList>
    <comment ref="F7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7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9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98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117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119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138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140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159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161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180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182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201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203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222" authorId="0" shapeId="0" xr:uid="{00000000-0006-0000-0900-00000F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224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243" authorId="0" shapeId="0" xr:uid="{00000000-0006-0000-0900-000011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245" authorId="0" shapeId="0" xr:uid="{00000000-0006-0000-0900-000012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264" authorId="0" shapeId="0" xr:uid="{00000000-0006-0000-0900-000013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266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285" authorId="0" shapeId="0" xr:uid="{00000000-0006-0000-0900-000015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287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306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308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327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See Bond Activity Amortization Table for calculation of final debt service payment (rounded).</t>
        </r>
      </text>
    </comment>
    <comment ref="F329" authorId="0" shapeId="0" xr:uid="{00000000-0006-0000-0900-00001A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349" authorId="0" shapeId="0" xr:uid="{00000000-0006-0000-0900-00001B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  <comment ref="F350" authorId="0" shapeId="0" xr:uid="{00000000-0006-0000-0900-00001C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Projected release of debt service reserve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tc={45A8FE82-65B8-4448-AC27-22AFE0088C28}</author>
    <author>MLevine</author>
  </authors>
  <commentList>
    <comment ref="F10" authorId="0" shapeId="0" xr:uid="{45A8FE82-65B8-4448-AC27-22AFE0088C28}">
      <text>
        <t>[Threaded comment]
Your version of Excel allows you to read this threaded comment; however, any edits to it will get removed if the file is opened in a newer version of Excel. Learn more: https://go.microsoft.com/fwlink/?linkid=870924
Comment:
    Of this, $659,400 decreases the value of the beneficial residual interest to $0 and the remaining $651,500 is reported as revenue by the county and an expenditure/expense by CESAS</t>
      </text>
    </comment>
    <comment ref="F20" authorId="1" shapeId="0" xr:uid="{00000000-0006-0000-0A00-000001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Debt Service Reserve Released ($1,250,000)</t>
        </r>
      </text>
    </comment>
    <comment ref="G20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Elimination of remaining deferral upon reversion of all assets to County
</t>
        </r>
      </text>
    </comment>
    <comment ref="K20" authorId="1" shapeId="0" xr:uid="{00000000-0006-0000-0A00-000003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Remaining principal balance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tc={B79DF814-12A1-44F7-9364-DF091A2617AA}</author>
    <author>MLevine</author>
  </authors>
  <commentList>
    <comment ref="E41" authorId="0" shapeId="0" xr:uid="{B79DF814-12A1-44F7-9364-DF091A2617AA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Portion representing remaining value of residual interest in sold revenue</t>
      </text>
    </comment>
    <comment ref="D67" authorId="1" shapeId="0" xr:uid="{00000000-0006-0000-0B00-000001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Includes debt service reserve release upon retirement of CESAS debt</t>
        </r>
      </text>
    </comment>
    <comment ref="D68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MLevine:</t>
        </r>
        <r>
          <rPr>
            <sz val="9"/>
            <color indexed="81"/>
            <rFont val="Tahoma"/>
            <family val="2"/>
          </rPr>
          <t xml:space="preserve">
Remaining balance of deferred inflow of resources recognized upon retirement of CESAS debt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tc={39D0F683-61F6-42E0-90C3-5E64B3FFAAF2}</author>
  </authors>
  <commentList>
    <comment ref="D98" authorId="0" shapeId="0" xr:uid="{39D0F683-61F6-42E0-90C3-5E64B3FFAAF2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Portion representing remaining value of County's residual interest in sold revenue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tc={F7A5EE8E-E939-432D-98C9-8024DF3C6420}</author>
    <author>tc={FAF3F348-BC58-49FD-9D41-0841DFCC0F68}</author>
    <author>tc={D29D1440-9F9C-41C6-95E5-53C583C3D78B}</author>
    <author>tc={EA61A3DF-AA4E-4095-869E-5FD25BE4514D}</author>
  </authors>
  <commentList>
    <comment ref="R9" authorId="0" shapeId="0" xr:uid="{F7A5EE8E-E939-432D-98C9-8024DF3C6420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Portion necessary to eliminate asset; remainder is revenue when earned</t>
      </text>
    </comment>
    <comment ref="AP9" authorId="1" shapeId="0" xr:uid="{FAF3F348-BC58-49FD-9D41-0841DFCC0F68}">
      <text>
        <t>[Threaded comment]
Your version of Excel allows you to read this threaded comment; however, any edits to it will get removed if the file is opened in a newer version of Excel. Learn more: https://go.microsoft.com/fwlink/?linkid=870924
Comment:
    Portion of residual passed through that exhausts liability for residual interest; remainder expensed as paid</t>
      </text>
    </comment>
    <comment ref="F45" authorId="2" shapeId="0" xr:uid="{D29D1440-9F9C-41C6-95E5-53C583C3D78B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 of 2024 residual after exhausting residual interest asset</t>
      </text>
    </comment>
    <comment ref="F55" authorId="3" shapeId="0" xr:uid="{EA61A3DF-AA4E-4095-869E-5FD25BE4514D}">
      <text>
        <t>[Threaded comment]
Your version of Excel allows you to read this threaded comment; however, any edits to it will get removed if the file is opened in a newer version of Excel. Learn more: https://go.microsoft.com/fwlink/?linkid=870924
Comment:
    2034 is last year for which revenue was sold.  Subsequent collections are state per capita aid revenue to County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tc={C9CC6FEA-E57B-4DF5-AC89-9663A08510A4}</author>
    <author>tc={FB4B474C-1D9F-4B09-B429-5A2A0F91452B}</author>
  </authors>
  <commentList>
    <comment ref="D6" authorId="0" shapeId="0" xr:uid="{C9CC6FEA-E57B-4DF5-AC89-9663A08510A4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below for crosswalk from stand-alone financial statements</t>
      </text>
    </comment>
    <comment ref="D30" authorId="1" shapeId="0" xr:uid="{FB4B474C-1D9F-4B09-B429-5A2A0F91452B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below for crosswalk from stand-alone financial statements</t>
      </text>
    </comment>
  </commentList>
</comments>
</file>

<file path=xl/sharedStrings.xml><?xml version="1.0" encoding="utf-8"?>
<sst xmlns="http://schemas.openxmlformats.org/spreadsheetml/2006/main" count="1065" uniqueCount="428">
  <si>
    <t>Collections by County during month</t>
  </si>
  <si>
    <t>Principal</t>
  </si>
  <si>
    <t>Balance</t>
  </si>
  <si>
    <t xml:space="preserve">Interest at </t>
  </si>
  <si>
    <t>Remittance to Bank at end of Month</t>
  </si>
  <si>
    <t>Interest Paid for FY</t>
  </si>
  <si>
    <t>Principal Repaid in FY</t>
  </si>
  <si>
    <t>Borrowing with Pledged Receivables</t>
  </si>
  <si>
    <t>DR</t>
  </si>
  <si>
    <t>CR</t>
  </si>
  <si>
    <t>General (or other governmental) Fund</t>
  </si>
  <si>
    <t>Cash</t>
  </si>
  <si>
    <t>Other financing source – long-term loan payable</t>
  </si>
  <si>
    <t>Conversion to Governmental Activiites</t>
  </si>
  <si>
    <t>Loan payable</t>
  </si>
  <si>
    <t>Interest Expense</t>
  </si>
  <si>
    <t>Interest expense</t>
  </si>
  <si>
    <t>(To record remittances from receivables collected – 2nd year)</t>
  </si>
  <si>
    <t>Collections During Month</t>
  </si>
  <si>
    <t>Proprety tax liens receivable</t>
  </si>
  <si>
    <t>Governmental Activities or 
Proprietary Funds/BTAs</t>
  </si>
  <si>
    <t>Net of Servicer Fee</t>
  </si>
  <si>
    <t>P+I</t>
  </si>
  <si>
    <t>Allowance for doubtful accounts</t>
  </si>
  <si>
    <t>Property tax liens receivable</t>
  </si>
  <si>
    <t>Deferred inflows of resources</t>
  </si>
  <si>
    <t>Payment #</t>
  </si>
  <si>
    <t>FYE</t>
  </si>
  <si>
    <t>Collections</t>
  </si>
  <si>
    <t>Interest</t>
  </si>
  <si>
    <t>[Repayment completed January 2022]</t>
  </si>
  <si>
    <t>Detailed remittances:</t>
  </si>
  <si>
    <t>Sold Receivables</t>
  </si>
  <si>
    <t>Pledeged Receivables.</t>
  </si>
  <si>
    <t>Remittance</t>
  </si>
  <si>
    <t>Underwriter's disount and other issuance costs</t>
  </si>
  <si>
    <t>Bond payable</t>
  </si>
  <si>
    <t>Revenue - penalties and interest on liens</t>
  </si>
  <si>
    <t xml:space="preserve">[To reocrd accrual of penalties, net of 5% estimated </t>
  </si>
  <si>
    <t>[To record issuance of bonds payable at par value]</t>
  </si>
  <si>
    <t>Available for Debt Service</t>
  </si>
  <si>
    <t>Tax Liens Receivable Activity</t>
  </si>
  <si>
    <t>Bond Activity</t>
  </si>
  <si>
    <t>Annual Summaries</t>
  </si>
  <si>
    <t>[To reocrd accrual of interest FY 2020, net of 5% estimated</t>
  </si>
  <si>
    <t>uncollectable amount]</t>
  </si>
  <si>
    <t>Lien servicing expense</t>
  </si>
  <si>
    <t xml:space="preserve">[To record collections and lien servicing expenses </t>
  </si>
  <si>
    <t>for FY 2020]</t>
  </si>
  <si>
    <t>Bonds payable</t>
  </si>
  <si>
    <t>Bond Interest Paid for FY</t>
  </si>
  <si>
    <t>Total Debt Service on Bonds in FY</t>
  </si>
  <si>
    <t xml:space="preserve">[To record payment of interest on bonds and redempetion </t>
  </si>
  <si>
    <t>of some bonds payable for FY 2020]</t>
  </si>
  <si>
    <t>[To reocrd accrual of interest FY 2021, net of 5% estimated</t>
  </si>
  <si>
    <t>for FY 2021]</t>
  </si>
  <si>
    <t>of some bonds payable for FY 2021]</t>
  </si>
  <si>
    <t>Net Cash Collections in FY</t>
  </si>
  <si>
    <t>Gross Collections in FY</t>
  </si>
  <si>
    <t>Servicer Fees in FY</t>
  </si>
  <si>
    <t>EXAMPLE TAX LIEN CORPORATION (Enterprise fund)</t>
  </si>
  <si>
    <t>Example # 1: Borrowing for which receivables are pledged as collateral</t>
  </si>
  <si>
    <t>Principal Retirement (in units of $1,000)</t>
  </si>
  <si>
    <t>NPV residual</t>
  </si>
  <si>
    <t>Population at January 1st of Year</t>
  </si>
  <si>
    <t>County Fiscal Year Ended 
June 30th</t>
  </si>
  <si>
    <t>CITY OF EXAMPLE</t>
  </si>
  <si>
    <t>Passed-through to County</t>
  </si>
  <si>
    <t>Revenue Activity</t>
  </si>
  <si>
    <t>Annual Debt Service</t>
  </si>
  <si>
    <t xml:space="preserve">Example # 2:  </t>
  </si>
  <si>
    <t>Intra-entity Sale of Receivables</t>
  </si>
  <si>
    <t>Example # 3: Intra-entity Sale of Future Revenue</t>
  </si>
  <si>
    <t>COUNTY OF EXAMPLE</t>
  </si>
  <si>
    <t>State Per-Capital Aid @</t>
  </si>
  <si>
    <t>Revenue - sale of future revenue</t>
  </si>
  <si>
    <t>Pre-Issuance</t>
  </si>
  <si>
    <t>FYE 2021</t>
  </si>
  <si>
    <t>FYE 2022</t>
  </si>
  <si>
    <t>FYE 2023</t>
  </si>
  <si>
    <t>Projectsions Used in Estimating Residual Interest Fair Value</t>
  </si>
  <si>
    <t>Net Present of County Residual Interest</t>
  </si>
  <si>
    <t>Market Risk Adjusted Fair Value (rounded) - Reduce by:</t>
  </si>
  <si>
    <t>FYE 2032</t>
  </si>
  <si>
    <t>FYE 2024</t>
  </si>
  <si>
    <t>Projectsions Used in Estimating Residual Interest Fair Value - At Each Year End</t>
  </si>
  <si>
    <t>FYE 2025</t>
  </si>
  <si>
    <t>FYE 2026</t>
  </si>
  <si>
    <t>FYE 2027</t>
  </si>
  <si>
    <t>FYE 2028</t>
  </si>
  <si>
    <t>FYE 2029</t>
  </si>
  <si>
    <t>FYE 2030</t>
  </si>
  <si>
    <t>FYE 2031</t>
  </si>
  <si>
    <t>FYE 2033</t>
  </si>
  <si>
    <t>Issuance costs</t>
  </si>
  <si>
    <t>D.S. Reserve</t>
  </si>
  <si>
    <t>[To record reversion of rights to future revenue to County</t>
  </si>
  <si>
    <t>following retirement of all outstanding bonds of CESAS]</t>
  </si>
  <si>
    <t>Revenue - unrestricted state aid</t>
  </si>
  <si>
    <t>Governmental or proprietary funds, or Government-wide</t>
  </si>
  <si>
    <t>[To record unrestricted state aid for FY 2035]</t>
  </si>
  <si>
    <t>Bond issuance costs</t>
  </si>
  <si>
    <t>[To record issuance of bonds payable and funding of</t>
  </si>
  <si>
    <t>Deferred outflows of resources</t>
  </si>
  <si>
    <t>Restricted cash - debt service reserve</t>
  </si>
  <si>
    <t>[To record unrestricted state aid for 2021]</t>
  </si>
  <si>
    <t>[To record unrestricted state aid for 2022]</t>
  </si>
  <si>
    <t>[To record unrestricted state aid for 2023]</t>
  </si>
  <si>
    <t>[To record payment of debt service for 2023]</t>
  </si>
  <si>
    <t>[To record payment of debt service for 2022]</t>
  </si>
  <si>
    <t>[To record release of debt service fund reserve]</t>
  </si>
  <si>
    <t>FYE 2020</t>
  </si>
  <si>
    <t xml:space="preserve"> No Entries</t>
  </si>
  <si>
    <t>Opening</t>
  </si>
  <si>
    <t>Expense - bond issuance costs
(cumulative - all years)</t>
  </si>
  <si>
    <t>Expense - lien servicer fees
(cumulative - all years)</t>
  </si>
  <si>
    <t>Revenue - penalties and interest on liens
(cumulative - all years)</t>
  </si>
  <si>
    <t>residual interest to City of Example]</t>
  </si>
  <si>
    <t>[To record close of corporation and transfer of</t>
  </si>
  <si>
    <t>City of Example - General Fund</t>
  </si>
  <si>
    <t>Example Tax Lien Corporation (Enterprise Fund)</t>
  </si>
  <si>
    <t>[To record close of CESAS and transfer of</t>
  </si>
  <si>
    <t>residual interest to County of Example]</t>
  </si>
  <si>
    <t>[CESAS Defunct. No remaining activity.]</t>
  </si>
  <si>
    <t>Deferred inflows of resources - unavailable property tax revenue</t>
  </si>
  <si>
    <t>Revenue - property tax</t>
  </si>
  <si>
    <t>Expenditure – debt service -principal</t>
  </si>
  <si>
    <t>Expenditure – debt service - interest</t>
  </si>
  <si>
    <t>Deferred inflows of resources - unavailable property tax</t>
  </si>
  <si>
    <t xml:space="preserve">Deferred inflows of resources - </t>
  </si>
  <si>
    <t xml:space="preserve">          unavailable property tax</t>
  </si>
  <si>
    <t>[No governemnt-wide entry; revenue recognized in prior period]</t>
  </si>
  <si>
    <t>[To record collections of property tax receivables for</t>
  </si>
  <si>
    <t>unavailable]</t>
  </si>
  <si>
    <t>[To record collections of property tax receivables]</t>
  </si>
  <si>
    <t xml:space="preserve">[To record long-term borrowing securitized </t>
  </si>
  <si>
    <t>by property tax liens receivable]</t>
  </si>
  <si>
    <t>[To record remittances from receivables collected]</t>
  </si>
  <si>
    <t>[To record debt service payment]</t>
  </si>
  <si>
    <t>[To record deb service payment]</t>
  </si>
  <si>
    <t xml:space="preserve">          </t>
  </si>
  <si>
    <t>Revenue - property tax unavailable property tax</t>
  </si>
  <si>
    <t xml:space="preserve">revenue that had been originally recognized as </t>
  </si>
  <si>
    <t>inflows of resources]</t>
  </si>
  <si>
    <t>revenue that had been originally recognized with deferred</t>
  </si>
  <si>
    <t>[To recognize available property tax revenue at FYE]</t>
  </si>
  <si>
    <t>amount of revenue available at FYE]</t>
  </si>
  <si>
    <t>Beneficial interest in tax lien trust</t>
  </si>
  <si>
    <t>Expenditure - sale of property tax liens receivable</t>
  </si>
  <si>
    <t xml:space="preserve">    unavailable property tax revenue</t>
  </si>
  <si>
    <t>Loss on sale of property tax liens</t>
  </si>
  <si>
    <t>Deferred inflows of resources -
beneficial residual interest</t>
  </si>
  <si>
    <t>Deferred inflows of resources 
unavailable property tax revenue</t>
  </si>
  <si>
    <t>Deferred inflow of resources -  beneficial interest</t>
  </si>
  <si>
    <t>[To record purchase of property tax liens ]</t>
  </si>
  <si>
    <t>Liability for beneficial residual interest of City</t>
  </si>
  <si>
    <t>5/1/2020 b</t>
  </si>
  <si>
    <t>5/1/2020 c</t>
  </si>
  <si>
    <t>Uncollectable Interest
5%</t>
  </si>
  <si>
    <t>Loss on purchase of tax liens receivable</t>
  </si>
  <si>
    <t>a</t>
  </si>
  <si>
    <t>b</t>
  </si>
  <si>
    <t>c</t>
  </si>
  <si>
    <t>Interest for Month 
1%</t>
  </si>
  <si>
    <t>5/1/2020 a</t>
  </si>
  <si>
    <t>6/30/2020 b</t>
  </si>
  <si>
    <t>6/30/2020 a</t>
  </si>
  <si>
    <t>6/30/2020 c</t>
  </si>
  <si>
    <t>d</t>
  </si>
  <si>
    <t>6/30/2021 a</t>
  </si>
  <si>
    <t>6/30/2021 b</t>
  </si>
  <si>
    <t>6/30/2021 c</t>
  </si>
  <si>
    <t>6/30/2022 a</t>
  </si>
  <si>
    <t>6/30/2022 b</t>
  </si>
  <si>
    <t>6/30/2022 c</t>
  </si>
  <si>
    <t>6/30/2022 d</t>
  </si>
  <si>
    <t>Penalties &amp;</t>
  </si>
  <si>
    <t xml:space="preserve">  interest</t>
  </si>
  <si>
    <t>Issuance</t>
  </si>
  <si>
    <t>Servicer</t>
  </si>
  <si>
    <t>Bond interest</t>
  </si>
  <si>
    <t>Net Rev/Exp 
(Cumulative - all years)</t>
  </si>
  <si>
    <t>Expense - bond interest
(cumulative - all years)</t>
  </si>
  <si>
    <t>Loss on purchase of tax liens receivable
(cumulative - all years)</t>
  </si>
  <si>
    <t xml:space="preserve">Deferred inflow of resouces - </t>
  </si>
  <si>
    <t xml:space="preserve">   unavailable property tax revenue</t>
  </si>
  <si>
    <t>n/a</t>
  </si>
  <si>
    <t>No conversion entry needed</t>
  </si>
  <si>
    <t xml:space="preserve">[To record collections on property tax liens receivable </t>
  </si>
  <si>
    <t>for FY 2023]</t>
  </si>
  <si>
    <t>6/30/2023 a</t>
  </si>
  <si>
    <t>Deferred inflow of resources - beneficial interest</t>
  </si>
  <si>
    <t>Revenue - reacquisition of property tax liens</t>
  </si>
  <si>
    <t xml:space="preserve">Gain on reacquisition of  property tax liens </t>
  </si>
  <si>
    <t>Revenue - sale of property tax liens receivable
(cumulative - all years)</t>
  </si>
  <si>
    <t>Revenue - property taxes
(cumulative - all years)</t>
  </si>
  <si>
    <t>Expenditure - sale of property tax liens receivable
(cumulative - all years)</t>
  </si>
  <si>
    <t>Revenue - penalties and interest on property taxes
(cumulative - all years)</t>
  </si>
  <si>
    <t>6/30/2023 b</t>
  </si>
  <si>
    <t>in  accordance with beneficial interest]</t>
  </si>
  <si>
    <t xml:space="preserve">[To record reversion of uncollected tax liens and cash </t>
  </si>
  <si>
    <t xml:space="preserve">upon retirement of Example Tax Lien Corporation bonds, </t>
  </si>
  <si>
    <t xml:space="preserve">[To record sale of property tax liens for cash and </t>
  </si>
  <si>
    <t xml:space="preserve">beneficial interest in residual assets of Example Tax Lien </t>
  </si>
  <si>
    <t xml:space="preserve">Corporation and removal of related allowances and deferred </t>
  </si>
  <si>
    <t>[To reocrd accrual of interest on tax liens receivable</t>
  </si>
  <si>
    <t xml:space="preserve"> FY 2023, net of 5% estimated uncollectable amount]</t>
  </si>
  <si>
    <t>Intra-entity Puchase of Receivables</t>
  </si>
  <si>
    <t>e</t>
  </si>
  <si>
    <t xml:space="preserve">Amortization of deferred inflows and outflows of resoucres pertaining to sold and purchased future revenue should be based on the revenue recognition </t>
  </si>
  <si>
    <t>Intra-entity Sale of Future Revenue</t>
  </si>
  <si>
    <t>Intra- Entity Purchase of Future Revenue</t>
  </si>
  <si>
    <t>[To record sale of 15 years of state aid to CESAS for</t>
  </si>
  <si>
    <t>County of Example - General Fund</t>
  </si>
  <si>
    <t>Beneficial residual interest in 
Example Tax Lien Corporation</t>
  </si>
  <si>
    <t>2021a</t>
  </si>
  <si>
    <t>Deferred inflows of resources - sale of future revenue</t>
  </si>
  <si>
    <t>amortization of deferrred inflows of resources for 2023]</t>
  </si>
  <si>
    <t>Revenue - State per capita aid</t>
  </si>
  <si>
    <t>[To record collection of residual state aid revenue and the</t>
  </si>
  <si>
    <t>amortization of deferred inflows of resources for 2022]</t>
  </si>
  <si>
    <t>[To record purchase of 15 years of state aid (deferred</t>
  </si>
  <si>
    <t>outflows of resources) from County of Example in</t>
  </si>
  <si>
    <t xml:space="preserve">[To record pass-through of residual state aid to County, </t>
  </si>
  <si>
    <t>and amortize deferred outflows of resources for 2022]</t>
  </si>
  <si>
    <t>and amortize deferred outflows of resources for 2023]</t>
  </si>
  <si>
    <t>2021b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</si>
  <si>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</si>
  <si>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</si>
  <si>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</si>
  <si>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</si>
  <si>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</si>
  <si>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</si>
  <si>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</si>
  <si>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</si>
  <si>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</si>
  <si>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</si>
  <si>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</si>
  <si>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</si>
  <si>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</si>
  <si>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</si>
  <si>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Revenue - state per capita aid</t>
  </si>
  <si>
    <t>Trial balance (Cumulative - all years)</t>
  </si>
  <si>
    <t>Rev-sale</t>
  </si>
  <si>
    <t>Rev-aid</t>
  </si>
  <si>
    <t>Deferred outflows of resources - 
purchase of future revenue</t>
  </si>
  <si>
    <t>Revenue - 
State per capita aid</t>
  </si>
  <si>
    <t>Expense - 
bond interest</t>
  </si>
  <si>
    <t>Expense - 
bond issuance costs</t>
  </si>
  <si>
    <t>Deferred outflows of resources - purchase of</t>
  </si>
  <si>
    <t xml:space="preserve">     future revenues</t>
  </si>
  <si>
    <t xml:space="preserve">   future revenues</t>
  </si>
  <si>
    <t>2021c</t>
  </si>
  <si>
    <t>2021d</t>
  </si>
  <si>
    <t>2021e</t>
  </si>
  <si>
    <t>2022a</t>
  </si>
  <si>
    <t>2022b</t>
  </si>
  <si>
    <t>2022c</t>
  </si>
  <si>
    <t>2023a</t>
  </si>
  <si>
    <t>2023b</t>
  </si>
  <si>
    <t>2023c</t>
  </si>
  <si>
    <t>2024a</t>
  </si>
  <si>
    <t>2025a</t>
  </si>
  <si>
    <t>2026a</t>
  </si>
  <si>
    <t>2027a</t>
  </si>
  <si>
    <t>2028a</t>
  </si>
  <si>
    <t>2029a</t>
  </si>
  <si>
    <t>2030a</t>
  </si>
  <si>
    <t>2031a</t>
  </si>
  <si>
    <t>2032a</t>
  </si>
  <si>
    <t>2033a</t>
  </si>
  <si>
    <t>2034a</t>
  </si>
  <si>
    <t>2024b</t>
  </si>
  <si>
    <t>2024c</t>
  </si>
  <si>
    <t>2025b</t>
  </si>
  <si>
    <t>2025c</t>
  </si>
  <si>
    <t>2026b</t>
  </si>
  <si>
    <t>2026c</t>
  </si>
  <si>
    <t>2027b</t>
  </si>
  <si>
    <t>2027c</t>
  </si>
  <si>
    <t>2028b</t>
  </si>
  <si>
    <t>2028c</t>
  </si>
  <si>
    <t>2029b</t>
  </si>
  <si>
    <t>2029c</t>
  </si>
  <si>
    <t>2030b</t>
  </si>
  <si>
    <t>2030c</t>
  </si>
  <si>
    <t>2031b</t>
  </si>
  <si>
    <t>2031c</t>
  </si>
  <si>
    <t>2032b</t>
  </si>
  <si>
    <t>2032c</t>
  </si>
  <si>
    <t>2033b</t>
  </si>
  <si>
    <t>2033c</t>
  </si>
  <si>
    <t>2034b</t>
  </si>
  <si>
    <t>2034c</t>
  </si>
  <si>
    <t>2034d</t>
  </si>
  <si>
    <t>3031b</t>
  </si>
  <si>
    <t>State Aid</t>
  </si>
  <si>
    <t>[To record unrestricted state aid for 2033]</t>
  </si>
  <si>
    <t>and amortize deferred outflows of resources for 2033]</t>
  </si>
  <si>
    <t>[To record payment of debt service for 2033]</t>
  </si>
  <si>
    <t>[To record unrestricted state aid for 2024]</t>
  </si>
  <si>
    <t>[To record payment of debt service for 2024]</t>
  </si>
  <si>
    <t>Beneficial (residual) interest sold revenue</t>
  </si>
  <si>
    <t>Net cash from bonds / cash purchase</t>
  </si>
  <si>
    <t>Face value of Bonds sold at par</t>
  </si>
  <si>
    <t>Exp Bond Issue</t>
  </si>
  <si>
    <t>Exp Bond Interest</t>
  </si>
  <si>
    <t>Exp - purchase rev</t>
  </si>
  <si>
    <t>Month</t>
  </si>
  <si>
    <t>uncollectable amount (19,000= (220,000*0.10)*95%)]</t>
  </si>
  <si>
    <t>Tax Liens Receivable Beg. of Month
[5/1/20: $200,000 + 10%]</t>
  </si>
  <si>
    <t xml:space="preserve"> Interest for Month</t>
  </si>
  <si>
    <t>Uncollectable Interest</t>
  </si>
  <si>
    <t xml:space="preserve">Servicer Fee </t>
  </si>
  <si>
    <t>Loss on purchase of property tax liens</t>
  </si>
  <si>
    <t>Trial Balance (Cumulative - all years)</t>
  </si>
  <si>
    <t>Prop tx rec</t>
  </si>
  <si>
    <t xml:space="preserve">allow </t>
  </si>
  <si>
    <t>Revenue - property taxes</t>
  </si>
  <si>
    <t>for FY 2023; all revenue had been deferred as unavailable]</t>
  </si>
  <si>
    <t>unavailable</t>
  </si>
  <si>
    <t>Rev- tax</t>
  </si>
  <si>
    <t>Rev -</t>
  </si>
  <si>
    <t xml:space="preserve">   pen &amp; int</t>
  </si>
  <si>
    <t>Governmental Activities or Proprietary Funds/BTAs</t>
  </si>
  <si>
    <t>Sold/Purcahsed Revenue</t>
  </si>
  <si>
    <t>Actual Collections</t>
  </si>
  <si>
    <t>Initially Projected Collections</t>
  </si>
  <si>
    <t>Proportion of Deferred Inflows/Outflows of Resources Recognized</t>
  </si>
  <si>
    <t>exchange for cash and l residual interest]</t>
  </si>
  <si>
    <t>cash and  residual assets]</t>
  </si>
  <si>
    <t>[To record collection of residual state aid revenue, and the</t>
  </si>
  <si>
    <t>amortization of deferred inflows of resources for 2021]</t>
  </si>
  <si>
    <t>amortization of deferrred inflows of resources for 2033]</t>
  </si>
  <si>
    <t>Expense - purchase of state aid revenue</t>
  </si>
  <si>
    <t>[To record pass-through of residual state aid to County</t>
  </si>
  <si>
    <t>and to amortize deferred outflows of resources for 2021]</t>
  </si>
  <si>
    <t>[*]</t>
  </si>
  <si>
    <t xml:space="preserve">of the underlying revenue (state per capita aid). Population was initially assumed to be stable, hence proportionate amortization results in straight-line </t>
  </si>
  <si>
    <t>Expense - 
purchase of state aid revenue</t>
  </si>
  <si>
    <t>Deferred inflows of resources - 
sale of future revenue</t>
  </si>
  <si>
    <t>See montly details below</t>
  </si>
  <si>
    <t>Total for FY</t>
  </si>
  <si>
    <t>Available at FYE</t>
  </si>
  <si>
    <t>Change in Amount Available</t>
  </si>
  <si>
    <t xml:space="preserve">[To adjust property tax revenue for decrease in </t>
  </si>
  <si>
    <t xml:space="preserve">Corporation, and removal of related allowances and deferred </t>
  </si>
  <si>
    <t>inflows of resources, resulting in a net expenditure]</t>
  </si>
  <si>
    <t>WARNING:  GFOA is not responsible for any reliance placed on these examples.</t>
  </si>
  <si>
    <t>Other financing source</t>
  </si>
  <si>
    <t>[No entry]</t>
  </si>
  <si>
    <t>debt service reserve]</t>
  </si>
  <si>
    <t>Debt service - principal</t>
  </si>
  <si>
    <t>Debt service - interest</t>
  </si>
  <si>
    <t>[To record payment of debt service for 2021]</t>
  </si>
  <si>
    <t>[*]
Amortization of Initial Deferred In-/Outflows of Resources 
(County - Revenue;
CESAS - Expense)</t>
  </si>
  <si>
    <t>Fund balance/net position</t>
  </si>
  <si>
    <t>Other Financing Source - Issuance of Bonds
State per capita aid</t>
  </si>
  <si>
    <t>County of Example State Aid Securitizations, Inc.</t>
  </si>
  <si>
    <t>Bonds Payable (governmental activities) and
 OFS-Issuance of bonds (CRs) and 
Expenditure Debt Service Principal (DRs)</t>
  </si>
  <si>
    <t>Expenditure/expense - purchase of future revenue</t>
  </si>
  <si>
    <t>Entries for years 2026 - 2032 would follow same pattern as above</t>
  </si>
  <si>
    <t>Expenditure/expense for purchase of future revenue</t>
  </si>
  <si>
    <t>[To record unrestricted state aid for 2025]</t>
  </si>
  <si>
    <t>[To record payment of debt service for 2025]</t>
  </si>
  <si>
    <t>and amortize deferred outflows of resources for 2024]</t>
  </si>
  <si>
    <t>and amortize deferred outflows of resources for 2025]</t>
  </si>
  <si>
    <t>Trial balance</t>
  </si>
  <si>
    <t>County's Residual Interest in Sold Revenue</t>
  </si>
  <si>
    <t>County's residual interest in sold revenues</t>
  </si>
  <si>
    <t>Change in fund balance/net position</t>
  </si>
  <si>
    <t>Governmental 
Activities</t>
  </si>
  <si>
    <t>General 
Fund</t>
  </si>
  <si>
    <t>Debit/(Credit)</t>
  </si>
  <si>
    <t>Stand-Alone
General Fund</t>
  </si>
  <si>
    <t>Position statement</t>
  </si>
  <si>
    <t>Total assets</t>
  </si>
  <si>
    <t>Total liabilities</t>
  </si>
  <si>
    <t>Total deferred inflows of resources</t>
  </si>
  <si>
    <t>Operating statement</t>
  </si>
  <si>
    <t>Total revenues</t>
  </si>
  <si>
    <t>Total expenditures/expense</t>
  </si>
  <si>
    <t>Beginning fund balance/net position</t>
  </si>
  <si>
    <t>Ending fund balance/net position</t>
  </si>
  <si>
    <t>Cash - unrestricted</t>
  </si>
  <si>
    <t>Cash - restricted</t>
  </si>
  <si>
    <t>Deferred outflows of resources - future revenues</t>
  </si>
  <si>
    <t>Total deferred outflows of resources</t>
  </si>
  <si>
    <t>County residual interest in sold revenues</t>
  </si>
  <si>
    <t>County of Example State Aid Securitizations, Inc. (CESAS)</t>
  </si>
  <si>
    <t>Stand-Alone County of Example State Aid Securitizations, Inc. (CESAS)</t>
  </si>
  <si>
    <t>Stand-Alone County of Example (County)</t>
  </si>
  <si>
    <t>County of Example Financial Reporting Entity</t>
  </si>
  <si>
    <t>State per-capital aid revenue</t>
  </si>
  <si>
    <t>Purchase of future state aid revenue</t>
  </si>
  <si>
    <t>Debt service - bond interest/interest expense</t>
  </si>
  <si>
    <t>Debt service - bond principle</t>
  </si>
  <si>
    <t>Debt service - cost of bond issuance</t>
  </si>
  <si>
    <t>Other financing source - issuance of bonds</t>
  </si>
  <si>
    <t>Revenue - residual from sold revenue</t>
  </si>
  <si>
    <t>Pre-Blending 
Reclass</t>
  </si>
  <si>
    <t>Due to general fund</t>
  </si>
  <si>
    <t>Due from CESAS fund</t>
  </si>
  <si>
    <t>Residual interest of county represents an amount expected to be paid between and thus is reclassified as an interfund balance</t>
  </si>
  <si>
    <t>Governmental Funds
[Post-reclassification*]</t>
  </si>
  <si>
    <t>Adjustments to Economic Resources</t>
  </si>
  <si>
    <t>Consolidation Eliminations</t>
  </si>
  <si>
    <t xml:space="preserve">Total Governmental Funds </t>
  </si>
  <si>
    <t>Total other financing sources</t>
  </si>
  <si>
    <t>CESAS 
[Special Revenue Fund]</t>
  </si>
  <si>
    <t>General Fund  
as Reported in Fund FS</t>
  </si>
  <si>
    <t>Notes on adjustments/reclassifications</t>
  </si>
  <si>
    <t xml:space="preserve">In conversion from the current financial resources measurement focus (MF) and the modified accrual basis of accounting (BA) to the economic resources MF and the accrual BA, bond proceeds </t>
  </si>
  <si>
    <t>the other financing source from bond proceeds is eliminated and the long-term liability for the bonds payable is added.  Also, the expenditure for repayment of bond principal is converted to a</t>
  </si>
  <si>
    <t xml:space="preserve">reduction of the bond principal outstanding.  </t>
  </si>
  <si>
    <t xml:space="preserve">Adjustments to Economic Resources MF </t>
  </si>
  <si>
    <t>Please note that the following are not properly formatted financial statements, and assume no existing balances or other activity in order to isolate the effects of this sale</t>
  </si>
  <si>
    <t>#</t>
  </si>
  <si>
    <t>Variance</t>
  </si>
  <si>
    <t>Financial statement display</t>
  </si>
  <si>
    <t>The general fund of a blended component unit is required to be reported as a special revenue fund in the financial statements of the financial reporting entity.</t>
  </si>
  <si>
    <t>These accounts will be used beginning in 20X4, once the original residual interest value is depleated</t>
  </si>
  <si>
    <t>Total Debt Service on Loan in FY</t>
  </si>
  <si>
    <t xml:space="preserve">amortization in this case. Had population and thus revenue growth been forcast, that pattern of amortization would have resulted. </t>
  </si>
  <si>
    <t>Passed-through to County (Residual interest reduction, then revenue/ expense)</t>
  </si>
  <si>
    <t>Benificial (residual) interest in sold revenue</t>
  </si>
  <si>
    <t xml:space="preserve">* Supporting Calculations:  Cross-walk from stand-alone FS </t>
  </si>
  <si>
    <r>
      <t>SRF as 
Reported in Fund FS</t>
    </r>
    <r>
      <rPr>
        <u val="singleAccounting"/>
        <vertAlign val="superscript"/>
        <sz val="14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</si>
</sst>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_);_(* \(#,##0.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 val="singleAccounting"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u val="singleAccounting"/>
      <vertAlign val="superscript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70AD47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0">
    <xf numFmtId="0" fontId="0" fillId="0" borderId="0" xfId="0"/>
    <xf numFmtId="164" fontId="0" fillId="0" borderId="0" xfId="1" applyNumberFormat="1" applyFont="1"/>
    <xf numFmtId="15" fontId="0" fillId="0" borderId="1" xfId="0" applyNumberFormat="1" applyBorder="1"/>
    <xf numFmtId="0" fontId="0" fillId="0" borderId="0" xfId="0" applyAlignment="1">
      <alignment horizontal="center"/>
    </xf>
    <xf numFmtId="9" fontId="2" fillId="0" borderId="0" xfId="2" applyFont="1" applyAlignment="1">
      <alignment horizontal="center"/>
    </xf>
    <xf numFmtId="43" fontId="0" fillId="0" borderId="0" xfId="1" applyFont="1"/>
    <xf numFmtId="43" fontId="2" fillId="0" borderId="0" xfId="1" applyFont="1" applyAlignment="1">
      <alignment horizontal="center" wrapText="1"/>
    </xf>
    <xf numFmtId="43" fontId="0" fillId="0" borderId="1" xfId="1" applyFont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0" fillId="0" borderId="0" xfId="1" applyNumberFormat="1" applyFont="1" applyFill="1" applyBorder="1" applyAlignment="1">
      <alignment horizontal="right" vertical="center" wrapText="1"/>
    </xf>
    <xf numFmtId="43" fontId="0" fillId="0" borderId="0" xfId="1" applyFont="1" applyFill="1" applyBorder="1"/>
    <xf numFmtId="164" fontId="0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indent="9"/>
    </xf>
    <xf numFmtId="15" fontId="0" fillId="0" borderId="0" xfId="0" applyNumberFormat="1"/>
    <xf numFmtId="43" fontId="0" fillId="0" borderId="0" xfId="1" applyFont="1" applyBorder="1"/>
    <xf numFmtId="164" fontId="2" fillId="0" borderId="0" xfId="1" applyNumberFormat="1" applyFont="1" applyAlignment="1">
      <alignment horizontal="center" wrapText="1"/>
    </xf>
    <xf numFmtId="164" fontId="0" fillId="0" borderId="0" xfId="1" applyNumberFormat="1" applyFont="1" applyBorder="1"/>
    <xf numFmtId="164" fontId="0" fillId="0" borderId="1" xfId="1" applyNumberFormat="1" applyFont="1" applyBorder="1"/>
    <xf numFmtId="8" fontId="0" fillId="0" borderId="0" xfId="0" applyNumberFormat="1"/>
    <xf numFmtId="0" fontId="0" fillId="0" borderId="1" xfId="0" applyBorder="1"/>
    <xf numFmtId="8" fontId="0" fillId="0" borderId="0" xfId="1" applyNumberFormat="1" applyFont="1"/>
    <xf numFmtId="8" fontId="0" fillId="0" borderId="1" xfId="1" applyNumberFormat="1" applyFont="1" applyBorder="1"/>
    <xf numFmtId="8" fontId="0" fillId="0" borderId="0" xfId="1" applyNumberFormat="1" applyFont="1" applyBorder="1"/>
    <xf numFmtId="164" fontId="0" fillId="0" borderId="0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9"/>
    </xf>
    <xf numFmtId="14" fontId="0" fillId="0" borderId="0" xfId="0" applyNumberFormat="1"/>
    <xf numFmtId="164" fontId="0" fillId="0" borderId="0" xfId="1" applyNumberFormat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164" fontId="12" fillId="0" borderId="0" xfId="1" applyNumberFormat="1" applyFont="1" applyAlignment="1">
      <alignment horizontal="center"/>
    </xf>
    <xf numFmtId="164" fontId="0" fillId="0" borderId="0" xfId="0" applyNumberFormat="1"/>
    <xf numFmtId="164" fontId="0" fillId="0" borderId="5" xfId="1" applyNumberFormat="1" applyFont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0" fillId="3" borderId="0" xfId="0" applyFill="1"/>
    <xf numFmtId="43" fontId="0" fillId="0" borderId="0" xfId="0" applyNumberFormat="1"/>
    <xf numFmtId="43" fontId="0" fillId="0" borderId="4" xfId="0" applyNumberFormat="1" applyBorder="1"/>
    <xf numFmtId="44" fontId="0" fillId="0" borderId="0" xfId="3" applyFont="1" applyBorder="1"/>
    <xf numFmtId="4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 wrapText="1"/>
    </xf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indent="9"/>
    </xf>
    <xf numFmtId="43" fontId="0" fillId="0" borderId="9" xfId="1" applyFont="1" applyBorder="1"/>
    <xf numFmtId="6" fontId="2" fillId="0" borderId="0" xfId="0" quotePrefix="1" applyNumberFormat="1" applyFont="1" applyAlignment="1">
      <alignment horizontal="center" wrapText="1"/>
    </xf>
    <xf numFmtId="44" fontId="0" fillId="0" borderId="0" xfId="1" applyNumberFormat="1" applyFont="1" applyBorder="1"/>
    <xf numFmtId="0" fontId="12" fillId="0" borderId="0" xfId="0" applyFont="1" applyAlignment="1">
      <alignment horizontal="center" wrapText="1"/>
    </xf>
    <xf numFmtId="6" fontId="12" fillId="0" borderId="0" xfId="0" applyNumberFormat="1" applyFont="1" applyAlignment="1">
      <alignment horizontal="center"/>
    </xf>
    <xf numFmtId="165" fontId="0" fillId="0" borderId="0" xfId="3" applyNumberFormat="1" applyFont="1" applyBorder="1"/>
    <xf numFmtId="165" fontId="0" fillId="0" borderId="0" xfId="0" applyNumberFormat="1"/>
    <xf numFmtId="165" fontId="0" fillId="0" borderId="0" xfId="1" applyNumberFormat="1" applyFont="1" applyBorder="1"/>
    <xf numFmtId="44" fontId="0" fillId="0" borderId="4" xfId="0" applyNumberFormat="1" applyBorder="1"/>
    <xf numFmtId="0" fontId="2" fillId="0" borderId="0" xfId="0" applyFont="1" applyAlignment="1">
      <alignment horizontal="left"/>
    </xf>
    <xf numFmtId="8" fontId="0" fillId="0" borderId="6" xfId="0" applyNumberFormat="1" applyBorder="1"/>
    <xf numFmtId="43" fontId="0" fillId="0" borderId="11" xfId="1" applyFont="1" applyBorder="1"/>
    <xf numFmtId="44" fontId="0" fillId="0" borderId="0" xfId="3" applyFont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13" fillId="0" borderId="0" xfId="0" applyFont="1" applyAlignment="1">
      <alignment horizontal="center" wrapText="1"/>
    </xf>
    <xf numFmtId="6" fontId="13" fillId="0" borderId="0" xfId="0" applyNumberFormat="1" applyFont="1" applyAlignment="1">
      <alignment horizontal="center"/>
    </xf>
    <xf numFmtId="0" fontId="0" fillId="0" borderId="12" xfId="0" applyBorder="1"/>
    <xf numFmtId="165" fontId="0" fillId="0" borderId="13" xfId="3" applyNumberFormat="1" applyFont="1" applyBorder="1"/>
    <xf numFmtId="164" fontId="0" fillId="0" borderId="13" xfId="1" applyNumberFormat="1" applyFont="1" applyBorder="1"/>
    <xf numFmtId="0" fontId="0" fillId="0" borderId="13" xfId="0" applyBorder="1"/>
    <xf numFmtId="165" fontId="0" fillId="0" borderId="0" xfId="3" applyNumberFormat="1" applyFont="1"/>
    <xf numFmtId="0" fontId="0" fillId="0" borderId="14" xfId="0" applyBorder="1"/>
    <xf numFmtId="165" fontId="0" fillId="0" borderId="12" xfId="0" applyNumberFormat="1" applyBorder="1"/>
    <xf numFmtId="14" fontId="0" fillId="0" borderId="0" xfId="0" applyNumberFormat="1" applyAlignment="1">
      <alignment horizontal="left"/>
    </xf>
    <xf numFmtId="165" fontId="0" fillId="0" borderId="11" xfId="0" applyNumberFormat="1" applyBorder="1"/>
    <xf numFmtId="0" fontId="0" fillId="0" borderId="15" xfId="0" applyBorder="1"/>
    <xf numFmtId="0" fontId="0" fillId="0" borderId="1" xfId="0" applyBorder="1" applyAlignment="1">
      <alignment horizontal="left"/>
    </xf>
    <xf numFmtId="14" fontId="0" fillId="0" borderId="0" xfId="0" applyNumberFormat="1" applyAlignment="1">
      <alignment horizontal="left" indent="1"/>
    </xf>
    <xf numFmtId="165" fontId="0" fillId="0" borderId="13" xfId="0" applyNumberFormat="1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164" fontId="0" fillId="0" borderId="1" xfId="1" applyNumberFormat="1" applyFont="1" applyBorder="1" applyAlignment="1">
      <alignment vertical="center" wrapText="1"/>
    </xf>
    <xf numFmtId="0" fontId="2" fillId="0" borderId="16" xfId="0" applyFont="1" applyBorder="1"/>
    <xf numFmtId="0" fontId="2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164" fontId="0" fillId="0" borderId="16" xfId="1" applyNumberFormat="1" applyFont="1" applyFill="1" applyBorder="1" applyAlignment="1">
      <alignment horizontal="right" vertical="center" wrapText="1"/>
    </xf>
    <xf numFmtId="0" fontId="0" fillId="0" borderId="16" xfId="0" applyBorder="1"/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164" fontId="0" fillId="0" borderId="16" xfId="1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43" fontId="13" fillId="0" borderId="0" xfId="0" applyNumberFormat="1" applyFont="1" applyAlignment="1">
      <alignment horizontal="center" wrapText="1"/>
    </xf>
    <xf numFmtId="164" fontId="0" fillId="0" borderId="0" xfId="1" applyNumberFormat="1" applyFont="1" applyFill="1"/>
    <xf numFmtId="9" fontId="2" fillId="0" borderId="0" xfId="0" applyNumberFormat="1" applyFont="1" applyAlignment="1">
      <alignment horizontal="center" wrapText="1"/>
    </xf>
    <xf numFmtId="9" fontId="2" fillId="0" borderId="0" xfId="1" applyNumberFormat="1" applyFont="1" applyAlignment="1">
      <alignment horizontal="center" wrapText="1"/>
    </xf>
    <xf numFmtId="0" fontId="2" fillId="0" borderId="4" xfId="0" applyFont="1" applyBorder="1" applyAlignment="1">
      <alignment horizontal="left"/>
    </xf>
    <xf numFmtId="165" fontId="2" fillId="0" borderId="13" xfId="0" applyNumberFormat="1" applyFont="1" applyBorder="1"/>
    <xf numFmtId="165" fontId="0" fillId="4" borderId="11" xfId="0" applyNumberFormat="1" applyFill="1" applyBorder="1"/>
    <xf numFmtId="165" fontId="0" fillId="5" borderId="11" xfId="0" applyNumberFormat="1" applyFill="1" applyBorder="1"/>
    <xf numFmtId="165" fontId="0" fillId="5" borderId="13" xfId="3" applyNumberFormat="1" applyFont="1" applyFill="1" applyBorder="1"/>
    <xf numFmtId="165" fontId="0" fillId="4" borderId="13" xfId="3" applyNumberFormat="1" applyFont="1" applyFill="1" applyBorder="1"/>
    <xf numFmtId="165" fontId="0" fillId="6" borderId="4" xfId="0" applyNumberFormat="1" applyFill="1" applyBorder="1"/>
    <xf numFmtId="165" fontId="0" fillId="7" borderId="11" xfId="0" applyNumberFormat="1" applyFill="1" applyBorder="1"/>
    <xf numFmtId="165" fontId="0" fillId="8" borderId="4" xfId="0" applyNumberFormat="1" applyFill="1" applyBorder="1"/>
    <xf numFmtId="165" fontId="0" fillId="8" borderId="13" xfId="0" applyNumberFormat="1" applyFill="1" applyBorder="1"/>
    <xf numFmtId="8" fontId="0" fillId="0" borderId="1" xfId="1" applyNumberFormat="1" applyFont="1" applyBorder="1" applyAlignment="1">
      <alignment horizontal="center"/>
    </xf>
    <xf numFmtId="164" fontId="0" fillId="0" borderId="16" xfId="1" applyNumberFormat="1" applyFont="1" applyFill="1" applyBorder="1"/>
    <xf numFmtId="0" fontId="0" fillId="0" borderId="0" xfId="0" quotePrefix="1" applyAlignment="1">
      <alignment horizontal="right"/>
    </xf>
    <xf numFmtId="164" fontId="0" fillId="0" borderId="0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right"/>
    </xf>
    <xf numFmtId="164" fontId="0" fillId="0" borderId="0" xfId="1" applyNumberFormat="1" applyFont="1" applyAlignment="1"/>
    <xf numFmtId="0" fontId="0" fillId="0" borderId="3" xfId="0" applyBorder="1"/>
    <xf numFmtId="164" fontId="0" fillId="0" borderId="3" xfId="1" applyNumberFormat="1" applyFont="1" applyFill="1" applyBorder="1" applyAlignment="1"/>
    <xf numFmtId="164" fontId="0" fillId="0" borderId="0" xfId="1" applyNumberFormat="1" applyFont="1" applyFill="1" applyAlignment="1"/>
    <xf numFmtId="43" fontId="2" fillId="0" borderId="8" xfId="1" applyFont="1" applyBorder="1" applyAlignment="1">
      <alignment horizontal="center" wrapText="1"/>
    </xf>
    <xf numFmtId="15" fontId="0" fillId="0" borderId="0" xfId="0" applyNumberFormat="1" applyAlignment="1">
      <alignment horizontal="left"/>
    </xf>
    <xf numFmtId="14" fontId="0" fillId="0" borderId="0" xfId="0" quotePrefix="1" applyNumberFormat="1"/>
    <xf numFmtId="164" fontId="0" fillId="0" borderId="13" xfId="1" applyNumberFormat="1" applyFont="1" applyFill="1" applyBorder="1"/>
    <xf numFmtId="165" fontId="0" fillId="0" borderId="0" xfId="3" applyNumberFormat="1" applyFont="1" applyFill="1"/>
    <xf numFmtId="165" fontId="0" fillId="0" borderId="13" xfId="3" applyNumberFormat="1" applyFont="1" applyFill="1" applyBorder="1"/>
    <xf numFmtId="165" fontId="0" fillId="0" borderId="0" xfId="3" applyNumberFormat="1" applyFont="1" applyFill="1" applyBorder="1"/>
    <xf numFmtId="14" fontId="0" fillId="0" borderId="1" xfId="0" applyNumberFormat="1" applyBorder="1" applyAlignment="1">
      <alignment horizontal="left"/>
    </xf>
    <xf numFmtId="165" fontId="0" fillId="0" borderId="1" xfId="0" applyNumberFormat="1" applyBorder="1"/>
    <xf numFmtId="165" fontId="0" fillId="0" borderId="17" xfId="0" applyNumberFormat="1" applyBorder="1"/>
    <xf numFmtId="166" fontId="0" fillId="0" borderId="0" xfId="1" applyNumberFormat="1" applyFont="1"/>
    <xf numFmtId="0" fontId="13" fillId="0" borderId="0" xfId="0" applyFont="1" applyAlignment="1">
      <alignment wrapText="1"/>
    </xf>
    <xf numFmtId="43" fontId="13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43" fontId="0" fillId="0" borderId="0" xfId="1" applyFont="1" applyBorder="1" applyAlignment="1">
      <alignment horizontal="right"/>
    </xf>
    <xf numFmtId="164" fontId="0" fillId="6" borderId="13" xfId="1" applyNumberFormat="1" applyFont="1" applyFill="1" applyBorder="1"/>
    <xf numFmtId="164" fontId="0" fillId="7" borderId="13" xfId="1" applyNumberFormat="1" applyFont="1" applyFill="1" applyBorder="1"/>
    <xf numFmtId="164" fontId="0" fillId="8" borderId="13" xfId="1" applyNumberFormat="1" applyFont="1" applyFill="1" applyBorder="1"/>
    <xf numFmtId="165" fontId="0" fillId="9" borderId="11" xfId="0" applyNumberFormat="1" applyFill="1" applyBorder="1"/>
    <xf numFmtId="165" fontId="0" fillId="9" borderId="13" xfId="0" applyNumberFormat="1" applyFill="1" applyBorder="1"/>
    <xf numFmtId="15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15" fillId="0" borderId="0" xfId="3" applyNumberFormat="1" applyFont="1" applyFill="1" applyBorder="1"/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43" fontId="0" fillId="0" borderId="6" xfId="0" applyNumberFormat="1" applyBorder="1"/>
    <xf numFmtId="6" fontId="0" fillId="0" borderId="0" xfId="0" applyNumberFormat="1"/>
    <xf numFmtId="6" fontId="0" fillId="0" borderId="5" xfId="0" applyNumberFormat="1" applyBorder="1"/>
    <xf numFmtId="10" fontId="0" fillId="0" borderId="0" xfId="2" applyNumberFormat="1" applyFont="1"/>
    <xf numFmtId="10" fontId="0" fillId="0" borderId="5" xfId="2" applyNumberFormat="1" applyFont="1" applyBorder="1"/>
    <xf numFmtId="164" fontId="5" fillId="0" borderId="0" xfId="1" applyNumberFormat="1" applyFont="1" applyFill="1"/>
    <xf numFmtId="14" fontId="5" fillId="0" borderId="0" xfId="0" quotePrefix="1" applyNumberFormat="1" applyFont="1"/>
    <xf numFmtId="165" fontId="0" fillId="5" borderId="13" xfId="0" applyNumberFormat="1" applyFill="1" applyBorder="1"/>
    <xf numFmtId="165" fontId="0" fillId="7" borderId="13" xfId="0" applyNumberFormat="1" applyFill="1" applyBorder="1"/>
    <xf numFmtId="164" fontId="0" fillId="4" borderId="13" xfId="1" applyNumberFormat="1" applyFont="1" applyFill="1" applyBorder="1"/>
    <xf numFmtId="0" fontId="0" fillId="0" borderId="0" xfId="0" applyAlignment="1">
      <alignment horizontal="center" wrapText="1"/>
    </xf>
    <xf numFmtId="164" fontId="0" fillId="0" borderId="11" xfId="1" applyNumberFormat="1" applyFont="1" applyBorder="1" applyAlignment="1">
      <alignment horizontal="center" wrapText="1"/>
    </xf>
    <xf numFmtId="164" fontId="0" fillId="0" borderId="0" xfId="1" applyNumberFormat="1" applyFont="1" applyAlignment="1">
      <alignment horizontal="center" wrapText="1"/>
    </xf>
    <xf numFmtId="0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164" fontId="0" fillId="0" borderId="0" xfId="1" quotePrefix="1" applyNumberFormat="1" applyFont="1" applyFill="1" applyBorder="1" applyAlignment="1">
      <alignment horizontal="left" vertical="center"/>
    </xf>
    <xf numFmtId="0" fontId="2" fillId="0" borderId="0" xfId="0" quotePrefix="1" applyFont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64" fontId="0" fillId="0" borderId="0" xfId="1" applyNumberFormat="1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165" fontId="15" fillId="0" borderId="0" xfId="0" applyNumberFormat="1" applyFont="1"/>
    <xf numFmtId="164" fontId="15" fillId="0" borderId="0" xfId="1" applyNumberFormat="1" applyFont="1" applyFill="1" applyBorder="1"/>
    <xf numFmtId="164" fontId="1" fillId="0" borderId="0" xfId="1" applyNumberFormat="1" applyFont="1" applyFill="1"/>
    <xf numFmtId="164" fontId="0" fillId="0" borderId="5" xfId="1" applyNumberFormat="1" applyFont="1" applyFill="1" applyBorder="1"/>
    <xf numFmtId="0" fontId="17" fillId="0" borderId="0" xfId="0" applyFont="1"/>
    <xf numFmtId="0" fontId="18" fillId="0" borderId="0" xfId="0" applyFont="1"/>
    <xf numFmtId="164" fontId="18" fillId="0" borderId="0" xfId="1" applyNumberFormat="1" applyFont="1"/>
    <xf numFmtId="164" fontId="18" fillId="0" borderId="0" xfId="1" applyNumberFormat="1" applyFont="1" applyBorder="1"/>
    <xf numFmtId="0" fontId="19" fillId="0" borderId="0" xfId="0" applyFont="1" applyAlignment="1">
      <alignment horizontal="left" indent="1"/>
    </xf>
    <xf numFmtId="164" fontId="17" fillId="0" borderId="1" xfId="1" applyNumberFormat="1" applyFont="1" applyBorder="1" applyAlignment="1"/>
    <xf numFmtId="164" fontId="17" fillId="0" borderId="0" xfId="1" applyNumberFormat="1" applyFont="1" applyBorder="1" applyAlignment="1"/>
    <xf numFmtId="164" fontId="17" fillId="0" borderId="0" xfId="1" applyNumberFormat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 wrapText="1"/>
    </xf>
    <xf numFmtId="164" fontId="18" fillId="0" borderId="0" xfId="1" applyNumberFormat="1" applyFont="1" applyFill="1" applyAlignment="1">
      <alignment horizontal="center" wrapText="1"/>
    </xf>
    <xf numFmtId="164" fontId="20" fillId="0" borderId="0" xfId="1" applyNumberFormat="1" applyFont="1" applyAlignment="1">
      <alignment horizontal="center"/>
    </xf>
    <xf numFmtId="164" fontId="20" fillId="0" borderId="0" xfId="1" applyNumberFormat="1" applyFont="1" applyBorder="1" applyAlignment="1">
      <alignment horizontal="center" wrapText="1"/>
    </xf>
    <xf numFmtId="164" fontId="18" fillId="0" borderId="0" xfId="1" applyNumberFormat="1" applyFont="1" applyFill="1"/>
    <xf numFmtId="0" fontId="18" fillId="0" borderId="0" xfId="0" applyFont="1" applyAlignment="1">
      <alignment horizontal="left" indent="1"/>
    </xf>
    <xf numFmtId="164" fontId="18" fillId="0" borderId="3" xfId="1" applyNumberFormat="1" applyFont="1" applyBorder="1"/>
    <xf numFmtId="164" fontId="18" fillId="0" borderId="0" xfId="1" applyNumberFormat="1" applyFont="1" applyFill="1" applyBorder="1"/>
    <xf numFmtId="164" fontId="18" fillId="0" borderId="5" xfId="1" applyNumberFormat="1" applyFont="1" applyBorder="1"/>
    <xf numFmtId="164" fontId="18" fillId="0" borderId="1" xfId="1" applyNumberFormat="1" applyFont="1" applyBorder="1"/>
    <xf numFmtId="0" fontId="18" fillId="0" borderId="8" xfId="0" applyFont="1" applyBorder="1"/>
    <xf numFmtId="164" fontId="18" fillId="0" borderId="8" xfId="1" applyNumberFormat="1" applyFont="1" applyBorder="1"/>
    <xf numFmtId="0" fontId="18" fillId="0" borderId="6" xfId="0" applyFont="1" applyBorder="1"/>
    <xf numFmtId="0" fontId="18" fillId="0" borderId="7" xfId="0" applyFont="1" applyBorder="1"/>
    <xf numFmtId="0" fontId="18" fillId="0" borderId="0" xfId="0" applyFont="1" applyAlignment="1">
      <alignment horizontal="left"/>
    </xf>
    <xf numFmtId="164" fontId="20" fillId="0" borderId="0" xfId="1" applyNumberFormat="1" applyFont="1" applyAlignment="1">
      <alignment horizontal="center" wrapText="1"/>
    </xf>
    <xf numFmtId="164" fontId="20" fillId="5" borderId="0" xfId="1" applyNumberFormat="1" applyFont="1" applyFill="1" applyAlignment="1">
      <alignment horizontal="center" wrapText="1"/>
    </xf>
    <xf numFmtId="164" fontId="18" fillId="0" borderId="0" xfId="1" applyNumberFormat="1" applyFont="1" applyAlignment="1">
      <alignment horizontal="left"/>
    </xf>
    <xf numFmtId="164" fontId="18" fillId="5" borderId="0" xfId="1" applyNumberFormat="1" applyFont="1" applyFill="1"/>
    <xf numFmtId="164" fontId="18" fillId="0" borderId="0" xfId="1" applyNumberFormat="1" applyFont="1" applyBorder="1" applyAlignment="1">
      <alignment horizontal="left"/>
    </xf>
    <xf numFmtId="164" fontId="18" fillId="5" borderId="3" xfId="1" applyNumberFormat="1" applyFont="1" applyFill="1" applyBorder="1"/>
    <xf numFmtId="164" fontId="18" fillId="5" borderId="0" xfId="1" applyNumberFormat="1" applyFont="1" applyFill="1" applyBorder="1"/>
    <xf numFmtId="164" fontId="18" fillId="5" borderId="5" xfId="1" applyNumberFormat="1" applyFont="1" applyFill="1" applyBorder="1"/>
    <xf numFmtId="164" fontId="21" fillId="0" borderId="0" xfId="1" applyNumberFormat="1" applyFont="1"/>
    <xf numFmtId="164" fontId="18" fillId="5" borderId="1" xfId="1" applyNumberFormat="1" applyFont="1" applyFill="1" applyBorder="1"/>
    <xf numFmtId="0" fontId="18" fillId="0" borderId="0" xfId="0" applyFont="1" applyAlignment="1">
      <alignment horizontal="right"/>
    </xf>
    <xf numFmtId="0" fontId="22" fillId="0" borderId="0" xfId="0" applyFont="1"/>
    <xf numFmtId="164" fontId="23" fillId="0" borderId="0" xfId="1" applyNumberFormat="1" applyFont="1" applyAlignment="1"/>
    <xf numFmtId="164" fontId="17" fillId="0" borderId="0" xfId="1" applyNumberFormat="1" applyFont="1" applyBorder="1" applyAlignment="1">
      <alignment horizontal="center" vertical="center"/>
    </xf>
    <xf numFmtId="164" fontId="20" fillId="0" borderId="0" xfId="1" applyNumberFormat="1" applyFont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wrapText="1"/>
    </xf>
    <xf numFmtId="164" fontId="23" fillId="0" borderId="0" xfId="1" applyNumberFormat="1" applyFont="1"/>
    <xf numFmtId="0" fontId="23" fillId="0" borderId="0" xfId="0" applyFont="1" applyAlignment="1">
      <alignment horizontal="right"/>
    </xf>
    <xf numFmtId="164" fontId="18" fillId="0" borderId="5" xfId="1" applyNumberFormat="1" applyFont="1" applyFill="1" applyBorder="1"/>
    <xf numFmtId="164" fontId="18" fillId="5" borderId="5" xfId="0" applyNumberFormat="1" applyFont="1" applyFill="1" applyBorder="1"/>
    <xf numFmtId="164" fontId="18" fillId="0" borderId="0" xfId="0" applyNumberFormat="1" applyFont="1"/>
    <xf numFmtId="164" fontId="18" fillId="0" borderId="3" xfId="1" applyNumberFormat="1" applyFont="1" applyFill="1" applyBorder="1"/>
    <xf numFmtId="164" fontId="18" fillId="0" borderId="5" xfId="0" applyNumberFormat="1" applyFont="1" applyBorder="1"/>
    <xf numFmtId="164" fontId="17" fillId="10" borderId="0" xfId="1" applyNumberFormat="1" applyFont="1" applyFill="1" applyBorder="1" applyAlignment="1">
      <alignment horizontal="center"/>
    </xf>
    <xf numFmtId="164" fontId="18" fillId="10" borderId="0" xfId="1" applyNumberFormat="1" applyFont="1" applyFill="1" applyBorder="1"/>
    <xf numFmtId="164" fontId="23" fillId="0" borderId="0" xfId="1" applyNumberFormat="1" applyFont="1" applyBorder="1"/>
    <xf numFmtId="0" fontId="23" fillId="0" borderId="0" xfId="0" applyFont="1"/>
    <xf numFmtId="0" fontId="0" fillId="0" borderId="0" xfId="0" applyAlignment="1">
      <alignment horizontal="left" wrapText="1"/>
    </xf>
    <xf numFmtId="164" fontId="2" fillId="0" borderId="0" xfId="1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2" fillId="0" borderId="0" xfId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5" fontId="0" fillId="0" borderId="0" xfId="0" applyNumberForma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43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8" xfId="0" applyFont="1" applyBorder="1" applyAlignment="1">
      <alignment horizontal="center" wrapText="1"/>
    </xf>
    <xf numFmtId="43" fontId="2" fillId="0" borderId="0" xfId="1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17" fillId="0" borderId="6" xfId="1" applyNumberFormat="1" applyFont="1" applyBorder="1" applyAlignment="1">
      <alignment horizontal="center"/>
    </xf>
    <xf numFmtId="164" fontId="17" fillId="0" borderId="3" xfId="1" applyNumberFormat="1" applyFont="1" applyBorder="1" applyAlignment="1">
      <alignment horizontal="center"/>
    </xf>
    <xf numFmtId="164" fontId="17" fillId="0" borderId="7" xfId="1" applyNumberFormat="1" applyFont="1" applyBorder="1" applyAlignment="1">
      <alignment horizontal="center"/>
    </xf>
    <xf numFmtId="164" fontId="18" fillId="0" borderId="8" xfId="1" applyNumberFormat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64" fontId="17" fillId="0" borderId="4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wrapText="1"/>
    </xf>
    <xf numFmtId="164" fontId="18" fillId="0" borderId="3" xfId="1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5" xfId="1" applyNumberFormat="1" applyFont="1" applyFill="1" applyBorder="1"/>
    <xf numFmtId="0" fontId="0" fillId="0" borderId="0" xfId="0" applyFont="1" applyAlignment="1">
      <alignment vertical="center"/>
    </xf>
    <xf numFmtId="164" fontId="18" fillId="0" borderId="7" xfId="1" applyNumberFormat="1" applyFont="1" applyBorder="1"/>
    <xf numFmtId="0" fontId="18" fillId="0" borderId="0" xfId="0" applyFont="1" applyBorder="1" applyAlignment="1">
      <alignment horizontal="left" vertical="center" wrapText="1"/>
    </xf>
    <xf numFmtId="164" fontId="18" fillId="0" borderId="0" xfId="0" applyNumberFormat="1" applyFont="1" applyAlignment="1">
      <alignment horizontal="left"/>
    </xf>
    <xf numFmtId="164" fontId="18" fillId="0" borderId="0" xfId="1" applyNumberFormat="1" applyFont="1" applyFill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164" fontId="18" fillId="0" borderId="0" xfId="1" applyNumberFormat="1" applyFont="1" applyFill="1" applyAlignment="1">
      <alignment horizontal="left"/>
    </xf>
    <xf numFmtId="164" fontId="18" fillId="0" borderId="8" xfId="1" applyNumberFormat="1" applyFont="1" applyBorder="1" applyAlignment="1">
      <alignment horizontal="left"/>
    </xf>
    <xf numFmtId="164" fontId="23" fillId="5" borderId="0" xfId="1" applyNumberFormat="1" applyFont="1" applyFill="1" applyAlignment="1">
      <alignment horizontal="left" wrapText="1"/>
    </xf>
    <xf numFmtId="164" fontId="18" fillId="5" borderId="0" xfId="1" applyNumberFormat="1" applyFont="1" applyFill="1" applyAlignment="1">
      <alignment horizontal="left"/>
    </xf>
    <xf numFmtId="164" fontId="18" fillId="5" borderId="0" xfId="1" applyNumberFormat="1" applyFont="1" applyFill="1" applyBorder="1" applyAlignment="1">
      <alignment horizontal="left"/>
    </xf>
    <xf numFmtId="164" fontId="20" fillId="5" borderId="0" xfId="1" applyNumberFormat="1" applyFont="1" applyFill="1" applyAlignment="1">
      <alignment horizontal="left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FFCC"/>
      <color rgb="FF9999FF"/>
      <color rgb="FF99CC00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161925</xdr:rowOff>
        </xdr:from>
        <xdr:to>
          <xdr:col>10</xdr:col>
          <xdr:colOff>114300</xdr:colOff>
          <xdr:row>34</xdr:row>
          <xdr:rowOff>133350</xdr:rowOff>
        </xdr:to>
        <xdr:sp macro="" textlink="">
          <xdr:nvSpPr>
            <xdr:cNvPr id="20482" name="Object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25</xdr:row>
          <xdr:rowOff>0</xdr:rowOff>
        </xdr:from>
        <xdr:to>
          <xdr:col>7</xdr:col>
          <xdr:colOff>247650</xdr:colOff>
          <xdr:row>29</xdr:row>
          <xdr:rowOff>114300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7</xdr:col>
          <xdr:colOff>638175</xdr:colOff>
          <xdr:row>16</xdr:row>
          <xdr:rowOff>47625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</xdr:row>
          <xdr:rowOff>28575</xdr:rowOff>
        </xdr:from>
        <xdr:to>
          <xdr:col>10</xdr:col>
          <xdr:colOff>295275</xdr:colOff>
          <xdr:row>28</xdr:row>
          <xdr:rowOff>171450</xdr:rowOff>
        </xdr:to>
        <xdr:sp macro="" textlink="">
          <xdr:nvSpPr>
            <xdr:cNvPr id="10246" name="Object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8</xdr:col>
          <xdr:colOff>638175</xdr:colOff>
          <xdr:row>28</xdr:row>
          <xdr:rowOff>133350</xdr:rowOff>
        </xdr:to>
        <xdr:sp macro="" textlink="">
          <xdr:nvSpPr>
            <xdr:cNvPr id="12334" name="Object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9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chele Levine" id="{BB0CB248-C80F-4317-831D-200DD762253B}" userId="S::mlevine@gfoa.org::4fc85190-f762-4f92-b047-4b0e1b9a397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0" dT="2023-08-30T15:46:41.71" personId="{BB0CB248-C80F-4317-831D-200DD762253B}" id="{45A8FE82-65B8-4448-AC27-22AFE0088C28}">
    <text>Of this, $659,400 decreases the value of the beneficial residual interest to $0 and the remaining $651,500 is reported as revenue by the county and an expenditure/expense by CESAS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1" dT="2023-08-28T21:36:48.55" personId="{BB0CB248-C80F-4317-831D-200DD762253B}" id="{B79DF814-12A1-44F7-9364-DF091A2617AA}">
    <text>Portion representing remaining value of residual interest in sold revenue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98" dT="2023-08-28T21:46:47.45" personId="{BB0CB248-C80F-4317-831D-200DD762253B}" id="{39D0F683-61F6-42E0-90C3-5E64B3FFAAF2}">
    <text>Portion representing remaining value of County's residual interest in sold revenue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R9" dT="2023-08-28T20:24:19.71" personId="{BB0CB248-C80F-4317-831D-200DD762253B}" id="{F7A5EE8E-E939-432D-98C9-8024DF3C6420}">
    <text>Portion necessary to eliminate asset; remainder is revenue when earned</text>
  </threadedComment>
  <threadedComment ref="AP9" dT="2023-08-28T21:07:44.94" personId="{BB0CB248-C80F-4317-831D-200DD762253B}" id="{FAF3F348-BC58-49FD-9D41-0841DFCC0F68}">
    <text>Portion of residual passed through that exhausts liability for residual interest; remainder expensed as paid</text>
  </threadedComment>
  <threadedComment ref="F45" dT="2023-08-28T20:46:20.36" personId="{BB0CB248-C80F-4317-831D-200DD762253B}" id="{D29D1440-9F9C-41C6-95E5-53C583C3D78B}">
    <text>Amount of 2024 residual after exhausting residual interest asset</text>
  </threadedComment>
  <threadedComment ref="F55" dT="2023-08-28T20:47:22.71" personId="{BB0CB248-C80F-4317-831D-200DD762253B}" id="{EA61A3DF-AA4E-4095-869E-5FD25BE4514D}">
    <text>2034 is last year for which revenue was sold.  Subsequent collections are state per capita aid revenue to County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6" dT="2023-08-30T15:53:40.70" personId="{BB0CB248-C80F-4317-831D-200DD762253B}" id="{C9CC6FEA-E57B-4DF5-AC89-9663A08510A4}">
    <text>See below for crosswalk from stand-alone financial statements</text>
  </threadedComment>
  <threadedComment ref="D30" dT="2023-08-30T15:53:51.98" personId="{BB0CB248-C80F-4317-831D-200DD762253B}" id="{FB4B474C-1D9F-4B09-B429-5A2A0F91452B}">
    <text>See below for crosswalk from stand-alone financial statements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2.xml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4.docx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4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workbookViewId="0"/>
    <sheetView workbookViewId="1"/>
  </sheetViews>
  <sheetFormatPr defaultRowHeight="15" x14ac:dyDescent="0.25"/>
  <sheetData>
    <row r="1" spans="1:13" ht="18.75" x14ac:dyDescent="0.25">
      <c r="A1" s="174" t="s">
        <v>348</v>
      </c>
    </row>
    <row r="12" spans="1:13" ht="27" customHeight="1" x14ac:dyDescent="0.25"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</row>
  </sheetData>
  <mergeCells count="1">
    <mergeCell ref="B12:M12"/>
  </mergeCells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20482" r:id="rId4">
          <objectPr defaultSize="0" r:id="rId5">
            <anchor moveWithCells="1">
              <from>
                <xdr:col>1</xdr:col>
                <xdr:colOff>0</xdr:colOff>
                <xdr:row>3</xdr:row>
                <xdr:rowOff>161925</xdr:rowOff>
              </from>
              <to>
                <xdr:col>10</xdr:col>
                <xdr:colOff>114300</xdr:colOff>
                <xdr:row>34</xdr:row>
                <xdr:rowOff>133350</xdr:rowOff>
              </to>
            </anchor>
          </objectPr>
        </oleObject>
      </mc:Choice>
      <mc:Fallback>
        <oleObject progId="Word.Document.12" shapeId="20482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3"/>
  <sheetViews>
    <sheetView workbookViewId="0"/>
    <sheetView workbookViewId="1"/>
  </sheetViews>
  <sheetFormatPr defaultRowHeight="15" x14ac:dyDescent="0.25"/>
  <cols>
    <col min="2" max="2" width="9.85546875" customWidth="1"/>
    <col min="3" max="3" width="6.42578125" customWidth="1"/>
    <col min="4" max="4" width="12.42578125" customWidth="1"/>
    <col min="5" max="5" width="14.5703125" customWidth="1"/>
    <col min="6" max="6" width="19.42578125" customWidth="1"/>
    <col min="7" max="7" width="2" customWidth="1"/>
    <col min="8" max="8" width="14.7109375" customWidth="1"/>
    <col min="9" max="9" width="15.85546875" customWidth="1"/>
    <col min="10" max="10" width="1" customWidth="1"/>
    <col min="11" max="11" width="15.85546875" customWidth="1"/>
    <col min="12" max="12" width="20.5703125" customWidth="1"/>
    <col min="13" max="13" width="19.28515625" customWidth="1"/>
    <col min="14" max="14" width="12.85546875" customWidth="1"/>
    <col min="15" max="15" width="3.28515625" customWidth="1"/>
  </cols>
  <sheetData>
    <row r="1" spans="1:6" ht="18.75" x14ac:dyDescent="0.25">
      <c r="A1" s="46" t="s">
        <v>72</v>
      </c>
      <c r="F1" s="174" t="s">
        <v>348</v>
      </c>
    </row>
    <row r="24" spans="1:11" x14ac:dyDescent="0.25">
      <c r="A24" s="23"/>
    </row>
    <row r="25" spans="1:11" x14ac:dyDescent="0.25">
      <c r="A25" s="23"/>
    </row>
    <row r="26" spans="1:11" x14ac:dyDescent="0.25">
      <c r="A26" s="23"/>
    </row>
    <row r="27" spans="1:11" x14ac:dyDescent="0.25">
      <c r="A27" s="23"/>
    </row>
    <row r="28" spans="1:11" x14ac:dyDescent="0.25">
      <c r="A28" s="23"/>
    </row>
    <row r="29" spans="1:11" x14ac:dyDescent="0.25">
      <c r="A29" s="23"/>
    </row>
    <row r="30" spans="1:11" x14ac:dyDescent="0.25">
      <c r="A30" s="23"/>
    </row>
    <row r="31" spans="1:11" x14ac:dyDescent="0.25">
      <c r="A31" s="23"/>
    </row>
    <row r="32" spans="1:11" x14ac:dyDescent="0.25">
      <c r="A32" s="23"/>
      <c r="D32" s="251" t="s">
        <v>327</v>
      </c>
      <c r="E32" s="251"/>
      <c r="F32" s="251"/>
      <c r="H32" s="251" t="s">
        <v>326</v>
      </c>
      <c r="I32" s="251"/>
      <c r="J32" s="53"/>
      <c r="K32" s="53" t="s">
        <v>418</v>
      </c>
    </row>
    <row r="33" spans="1:14" ht="42.75" customHeight="1" x14ac:dyDescent="0.25">
      <c r="A33" s="23"/>
      <c r="B33" s="271" t="s">
        <v>65</v>
      </c>
      <c r="C33" s="77"/>
      <c r="D33" s="271" t="s">
        <v>64</v>
      </c>
      <c r="E33" s="77" t="s">
        <v>74</v>
      </c>
      <c r="F33" s="277" t="s">
        <v>328</v>
      </c>
      <c r="H33" s="271" t="s">
        <v>64</v>
      </c>
      <c r="I33" s="77" t="s">
        <v>74</v>
      </c>
      <c r="J33" s="77"/>
      <c r="K33" s="77"/>
      <c r="L33" s="141"/>
      <c r="M33" s="142"/>
      <c r="N33" s="105"/>
    </row>
    <row r="34" spans="1:14" x14ac:dyDescent="0.25">
      <c r="A34" s="23"/>
      <c r="B34" s="271"/>
      <c r="C34" s="46"/>
      <c r="D34" s="271"/>
      <c r="E34" s="78">
        <v>30</v>
      </c>
      <c r="F34" s="271"/>
      <c r="H34" s="271"/>
      <c r="I34" s="78">
        <v>30</v>
      </c>
      <c r="J34" s="78"/>
      <c r="K34" s="78"/>
      <c r="L34" s="141"/>
      <c r="M34" s="142"/>
      <c r="N34" s="105"/>
    </row>
    <row r="35" spans="1:14" x14ac:dyDescent="0.25">
      <c r="A35" s="23"/>
      <c r="B35">
        <v>2020</v>
      </c>
      <c r="C35" s="24"/>
      <c r="D35" s="42">
        <v>50000</v>
      </c>
      <c r="H35" s="42">
        <v>50000</v>
      </c>
      <c r="I35" s="74"/>
      <c r="J35" s="74"/>
      <c r="K35" s="74"/>
      <c r="L35" s="67"/>
      <c r="M35" s="144" t="s">
        <v>304</v>
      </c>
      <c r="N35" s="67">
        <f>+'Ex. 3 Amortization table'!L6</f>
        <v>12000000</v>
      </c>
    </row>
    <row r="36" spans="1:14" x14ac:dyDescent="0.25">
      <c r="A36" s="23"/>
      <c r="B36">
        <v>2021</v>
      </c>
      <c r="C36">
        <v>1</v>
      </c>
      <c r="D36" s="42">
        <v>50000</v>
      </c>
      <c r="E36" s="157">
        <f>+D36*$E$34</f>
        <v>1500000</v>
      </c>
      <c r="F36" s="159">
        <f>+E36/$E$51</f>
        <v>6.6666666666666666E-2</v>
      </c>
      <c r="H36" s="42">
        <f>ROUNDDOWN(+H35*1.01,0)</f>
        <v>50500</v>
      </c>
      <c r="I36" s="67">
        <f t="shared" ref="I36:I50" si="0">+H36*$I$34</f>
        <v>1515000</v>
      </c>
      <c r="J36" s="67"/>
      <c r="K36" s="67">
        <f>+I36-E36</f>
        <v>15000</v>
      </c>
      <c r="L36" s="27"/>
      <c r="M36" s="25" t="s">
        <v>94</v>
      </c>
      <c r="N36" s="27">
        <v>-250000</v>
      </c>
    </row>
    <row r="37" spans="1:14" x14ac:dyDescent="0.25">
      <c r="B37">
        <v>2022</v>
      </c>
      <c r="C37">
        <v>2</v>
      </c>
      <c r="D37" s="42">
        <v>50000</v>
      </c>
      <c r="E37" s="42">
        <f t="shared" ref="E37:E50" si="1">+D37*$E$34</f>
        <v>1500000</v>
      </c>
      <c r="F37" s="159">
        <f t="shared" ref="F37:F50" si="2">+E37/$E$51</f>
        <v>6.6666666666666666E-2</v>
      </c>
      <c r="H37" s="42">
        <f t="shared" ref="H37:H50" si="3">ROUNDDOWN(+H36*1.01,0)</f>
        <v>51005</v>
      </c>
      <c r="I37" s="27">
        <f t="shared" si="0"/>
        <v>1530150</v>
      </c>
      <c r="J37" s="27"/>
      <c r="K37" s="27">
        <f t="shared" ref="K37:K50" si="4">+I37-E37</f>
        <v>30150</v>
      </c>
      <c r="L37" s="27"/>
      <c r="M37" s="25" t="s">
        <v>95</v>
      </c>
      <c r="N37" s="28">
        <v>-1250000</v>
      </c>
    </row>
    <row r="38" spans="1:14" x14ac:dyDescent="0.25">
      <c r="B38">
        <v>2023</v>
      </c>
      <c r="C38">
        <v>3</v>
      </c>
      <c r="D38" s="42">
        <v>50000</v>
      </c>
      <c r="E38" s="42">
        <f t="shared" si="1"/>
        <v>1500000</v>
      </c>
      <c r="F38" s="159">
        <f t="shared" si="2"/>
        <v>6.6666666666666666E-2</v>
      </c>
      <c r="H38" s="42">
        <f t="shared" si="3"/>
        <v>51515</v>
      </c>
      <c r="I38" s="27">
        <f t="shared" si="0"/>
        <v>1545450</v>
      </c>
      <c r="J38" s="27"/>
      <c r="K38" s="27">
        <f t="shared" si="4"/>
        <v>45450</v>
      </c>
      <c r="L38" s="27"/>
      <c r="M38" s="143" t="s">
        <v>303</v>
      </c>
      <c r="N38" s="27">
        <f>SUM(N35:N37)</f>
        <v>10500000</v>
      </c>
    </row>
    <row r="39" spans="1:14" x14ac:dyDescent="0.25">
      <c r="B39">
        <v>2024</v>
      </c>
      <c r="C39">
        <v>4</v>
      </c>
      <c r="D39" s="42">
        <v>50000</v>
      </c>
      <c r="E39" s="42">
        <f t="shared" si="1"/>
        <v>1500000</v>
      </c>
      <c r="F39" s="159">
        <f t="shared" si="2"/>
        <v>6.6666666666666666E-2</v>
      </c>
      <c r="H39" s="42">
        <f t="shared" si="3"/>
        <v>52030</v>
      </c>
      <c r="I39" s="27">
        <f t="shared" si="0"/>
        <v>1560900</v>
      </c>
      <c r="J39" s="27"/>
      <c r="K39" s="27">
        <f t="shared" si="4"/>
        <v>60900</v>
      </c>
      <c r="L39" s="27"/>
      <c r="M39" s="143" t="s">
        <v>302</v>
      </c>
      <c r="N39" s="27">
        <f>+L60</f>
        <v>4500000</v>
      </c>
    </row>
    <row r="40" spans="1:14" ht="15.75" thickBot="1" x14ac:dyDescent="0.3">
      <c r="B40">
        <v>2025</v>
      </c>
      <c r="C40">
        <v>5</v>
      </c>
      <c r="D40" s="42">
        <v>50000</v>
      </c>
      <c r="E40" s="42">
        <f t="shared" si="1"/>
        <v>1500000</v>
      </c>
      <c r="F40" s="159">
        <f t="shared" si="2"/>
        <v>6.6666666666666666E-2</v>
      </c>
      <c r="H40" s="42">
        <f t="shared" si="3"/>
        <v>52550</v>
      </c>
      <c r="I40" s="27">
        <f t="shared" si="0"/>
        <v>1576500</v>
      </c>
      <c r="J40" s="27"/>
      <c r="K40" s="27">
        <f t="shared" si="4"/>
        <v>76500</v>
      </c>
      <c r="L40" s="27"/>
      <c r="N40" s="76">
        <f>+N38+N39</f>
        <v>15000000</v>
      </c>
    </row>
    <row r="41" spans="1:14" ht="15.75" thickTop="1" x14ac:dyDescent="0.25">
      <c r="B41">
        <v>2026</v>
      </c>
      <c r="C41">
        <v>6</v>
      </c>
      <c r="D41" s="42">
        <v>50000</v>
      </c>
      <c r="E41" s="42">
        <f t="shared" si="1"/>
        <v>1500000</v>
      </c>
      <c r="F41" s="159">
        <f t="shared" si="2"/>
        <v>6.6666666666666666E-2</v>
      </c>
      <c r="H41" s="42">
        <f t="shared" si="3"/>
        <v>53075</v>
      </c>
      <c r="I41" s="27">
        <f t="shared" si="0"/>
        <v>1592250</v>
      </c>
      <c r="J41" s="27"/>
      <c r="K41" s="27">
        <f t="shared" si="4"/>
        <v>92250</v>
      </c>
      <c r="L41" s="27"/>
    </row>
    <row r="42" spans="1:14" x14ac:dyDescent="0.25">
      <c r="B42">
        <v>2027</v>
      </c>
      <c r="C42">
        <v>7</v>
      </c>
      <c r="D42" s="42">
        <v>50000</v>
      </c>
      <c r="E42" s="42">
        <f t="shared" si="1"/>
        <v>1500000</v>
      </c>
      <c r="F42" s="159">
        <f t="shared" si="2"/>
        <v>6.6666666666666666E-2</v>
      </c>
      <c r="H42" s="42">
        <f t="shared" si="3"/>
        <v>53605</v>
      </c>
      <c r="I42" s="27">
        <f t="shared" si="0"/>
        <v>1608150</v>
      </c>
      <c r="J42" s="27"/>
      <c r="K42" s="27">
        <f t="shared" si="4"/>
        <v>108150</v>
      </c>
      <c r="L42" s="27"/>
      <c r="M42" s="27"/>
      <c r="N42" s="27"/>
    </row>
    <row r="43" spans="1:14" x14ac:dyDescent="0.25">
      <c r="B43">
        <v>2028</v>
      </c>
      <c r="C43">
        <v>8</v>
      </c>
      <c r="D43" s="42">
        <v>50000</v>
      </c>
      <c r="E43" s="42">
        <f t="shared" si="1"/>
        <v>1500000</v>
      </c>
      <c r="F43" s="159">
        <f t="shared" si="2"/>
        <v>6.6666666666666666E-2</v>
      </c>
      <c r="H43" s="42">
        <f t="shared" si="3"/>
        <v>54141</v>
      </c>
      <c r="I43" s="27">
        <f t="shared" si="0"/>
        <v>1624230</v>
      </c>
      <c r="J43" s="27"/>
      <c r="K43" s="27">
        <f t="shared" si="4"/>
        <v>124230</v>
      </c>
      <c r="L43" s="27"/>
      <c r="M43" s="27"/>
      <c r="N43" s="27"/>
    </row>
    <row r="44" spans="1:14" x14ac:dyDescent="0.25">
      <c r="B44">
        <v>2029</v>
      </c>
      <c r="C44">
        <v>9</v>
      </c>
      <c r="D44" s="42">
        <v>50000</v>
      </c>
      <c r="E44" s="42">
        <f t="shared" si="1"/>
        <v>1500000</v>
      </c>
      <c r="F44" s="159">
        <f t="shared" si="2"/>
        <v>6.6666666666666666E-2</v>
      </c>
      <c r="H44" s="42">
        <f t="shared" si="3"/>
        <v>54682</v>
      </c>
      <c r="I44" s="27">
        <f t="shared" si="0"/>
        <v>1640460</v>
      </c>
      <c r="J44" s="27"/>
      <c r="K44" s="27">
        <f t="shared" si="4"/>
        <v>140460</v>
      </c>
      <c r="L44" s="27"/>
      <c r="M44" s="27"/>
      <c r="N44" s="27"/>
    </row>
    <row r="45" spans="1:14" x14ac:dyDescent="0.25">
      <c r="B45">
        <v>2030</v>
      </c>
      <c r="C45">
        <v>10</v>
      </c>
      <c r="D45" s="42">
        <v>50000</v>
      </c>
      <c r="E45" s="42">
        <f t="shared" si="1"/>
        <v>1500000</v>
      </c>
      <c r="F45" s="159">
        <f t="shared" si="2"/>
        <v>6.6666666666666666E-2</v>
      </c>
      <c r="H45" s="42">
        <f t="shared" si="3"/>
        <v>55228</v>
      </c>
      <c r="I45" s="27">
        <f t="shared" si="0"/>
        <v>1656840</v>
      </c>
      <c r="J45" s="27"/>
      <c r="K45" s="27">
        <f t="shared" si="4"/>
        <v>156840</v>
      </c>
      <c r="L45" s="27"/>
      <c r="M45" s="27"/>
      <c r="N45" s="27"/>
    </row>
    <row r="46" spans="1:14" x14ac:dyDescent="0.25">
      <c r="B46">
        <v>2031</v>
      </c>
      <c r="C46">
        <v>11</v>
      </c>
      <c r="D46" s="42">
        <v>50000</v>
      </c>
      <c r="E46" s="42">
        <f t="shared" si="1"/>
        <v>1500000</v>
      </c>
      <c r="F46" s="159">
        <f t="shared" si="2"/>
        <v>6.6666666666666666E-2</v>
      </c>
      <c r="H46" s="42">
        <f t="shared" si="3"/>
        <v>55780</v>
      </c>
      <c r="I46" s="27">
        <f t="shared" si="0"/>
        <v>1673400</v>
      </c>
      <c r="J46" s="27"/>
      <c r="K46" s="27">
        <f t="shared" si="4"/>
        <v>173400</v>
      </c>
      <c r="L46" s="27"/>
      <c r="M46" s="27"/>
      <c r="N46" s="27"/>
    </row>
    <row r="47" spans="1:14" x14ac:dyDescent="0.25">
      <c r="B47">
        <v>2032</v>
      </c>
      <c r="C47">
        <v>12</v>
      </c>
      <c r="D47" s="42">
        <v>50000</v>
      </c>
      <c r="E47" s="42">
        <f t="shared" si="1"/>
        <v>1500000</v>
      </c>
      <c r="F47" s="159">
        <f t="shared" si="2"/>
        <v>6.6666666666666666E-2</v>
      </c>
      <c r="H47" s="42">
        <f t="shared" si="3"/>
        <v>56337</v>
      </c>
      <c r="I47" s="27">
        <f t="shared" si="0"/>
        <v>1690110</v>
      </c>
      <c r="J47" s="27"/>
      <c r="K47" s="27">
        <f t="shared" si="4"/>
        <v>190110</v>
      </c>
      <c r="L47" s="27"/>
      <c r="M47" s="27"/>
      <c r="N47" s="27"/>
    </row>
    <row r="48" spans="1:14" x14ac:dyDescent="0.25">
      <c r="B48">
        <v>2033</v>
      </c>
      <c r="C48">
        <v>13</v>
      </c>
      <c r="D48" s="42">
        <v>50000</v>
      </c>
      <c r="E48" s="42">
        <f t="shared" si="1"/>
        <v>1500000</v>
      </c>
      <c r="F48" s="159">
        <f t="shared" si="2"/>
        <v>6.6666666666666666E-2</v>
      </c>
      <c r="H48" s="42">
        <f t="shared" si="3"/>
        <v>56900</v>
      </c>
      <c r="I48" s="27">
        <f t="shared" si="0"/>
        <v>1707000</v>
      </c>
      <c r="J48" s="27"/>
      <c r="K48" s="27">
        <f t="shared" si="4"/>
        <v>207000</v>
      </c>
      <c r="L48" s="27"/>
      <c r="M48" s="27"/>
      <c r="N48" s="27"/>
    </row>
    <row r="49" spans="2:14" x14ac:dyDescent="0.25">
      <c r="B49">
        <v>2034</v>
      </c>
      <c r="C49">
        <v>14</v>
      </c>
      <c r="D49" s="42">
        <v>50000</v>
      </c>
      <c r="E49" s="42">
        <f t="shared" si="1"/>
        <v>1500000</v>
      </c>
      <c r="F49" s="159">
        <f t="shared" si="2"/>
        <v>6.6666666666666666E-2</v>
      </c>
      <c r="H49" s="42">
        <f t="shared" si="3"/>
        <v>57469</v>
      </c>
      <c r="I49" s="27">
        <f t="shared" si="0"/>
        <v>1724070</v>
      </c>
      <c r="J49" s="27"/>
      <c r="K49" s="27">
        <f t="shared" si="4"/>
        <v>224070</v>
      </c>
      <c r="L49" s="27"/>
      <c r="M49" s="27"/>
      <c r="N49" s="27"/>
    </row>
    <row r="50" spans="2:14" x14ac:dyDescent="0.25">
      <c r="B50">
        <v>2035</v>
      </c>
      <c r="C50">
        <v>15</v>
      </c>
      <c r="D50" s="42">
        <v>50000</v>
      </c>
      <c r="E50" s="42">
        <f t="shared" si="1"/>
        <v>1500000</v>
      </c>
      <c r="F50" s="159">
        <f t="shared" si="2"/>
        <v>6.6666666666666666E-2</v>
      </c>
      <c r="H50" s="42">
        <f t="shared" si="3"/>
        <v>58043</v>
      </c>
      <c r="I50" s="27">
        <f t="shared" si="0"/>
        <v>1741290</v>
      </c>
      <c r="J50" s="27"/>
      <c r="K50" s="27">
        <f t="shared" si="4"/>
        <v>241290</v>
      </c>
      <c r="L50" s="27"/>
      <c r="M50" s="27"/>
      <c r="N50" s="27"/>
    </row>
    <row r="51" spans="2:14" ht="15.75" thickBot="1" x14ac:dyDescent="0.3">
      <c r="E51" s="158">
        <f>SUM(E36:E50)</f>
        <v>22500000</v>
      </c>
      <c r="F51" s="160">
        <f>SUM(F36:F50)</f>
        <v>0.99999999999999989</v>
      </c>
      <c r="G51" s="25"/>
      <c r="H51" s="27"/>
      <c r="I51" s="158">
        <f>SUM(I36:I50)</f>
        <v>24385800</v>
      </c>
      <c r="J51" s="157"/>
      <c r="K51" s="158">
        <f>SUM(K36:K50)</f>
        <v>1885800</v>
      </c>
      <c r="L51" s="27">
        <f>+I51-K51-E51</f>
        <v>0</v>
      </c>
      <c r="M51" s="27"/>
    </row>
    <row r="52" spans="2:14" ht="15.75" thickTop="1" x14ac:dyDescent="0.25">
      <c r="D52" s="25"/>
      <c r="E52" s="68"/>
      <c r="G52" s="27"/>
      <c r="H52" s="27"/>
      <c r="I52" s="33"/>
      <c r="J52" s="33"/>
      <c r="K52" s="33"/>
    </row>
    <row r="53" spans="2:14" x14ac:dyDescent="0.25">
      <c r="D53" s="25"/>
      <c r="E53" s="68"/>
      <c r="G53" s="27"/>
      <c r="H53" s="27"/>
      <c r="I53" s="33"/>
      <c r="J53" s="33"/>
      <c r="K53" s="33"/>
    </row>
    <row r="54" spans="2:14" x14ac:dyDescent="0.25">
      <c r="B54" s="24"/>
      <c r="C54" s="25"/>
      <c r="D54" s="25"/>
      <c r="E54" s="29"/>
      <c r="F54" s="29"/>
      <c r="G54" s="29"/>
      <c r="H54" s="29"/>
      <c r="I54" s="25"/>
      <c r="J54" s="25"/>
      <c r="K54" s="25"/>
    </row>
    <row r="55" spans="2:14" x14ac:dyDescent="0.25">
      <c r="B55" s="155" t="s">
        <v>80</v>
      </c>
      <c r="C55" s="155"/>
      <c r="D55" s="155"/>
      <c r="E55" s="155"/>
      <c r="F55" s="155"/>
      <c r="G55" s="155"/>
      <c r="H55" s="155"/>
      <c r="I55" s="155"/>
      <c r="J55" s="155"/>
      <c r="K55" s="155"/>
      <c r="L55" s="155"/>
    </row>
    <row r="56" spans="2:14" x14ac:dyDescent="0.25"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2:14" x14ac:dyDescent="0.25">
      <c r="B57" s="153" t="s">
        <v>76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54"/>
    </row>
    <row r="58" spans="2:14" ht="45" x14ac:dyDescent="0.25">
      <c r="B58" s="272" t="s">
        <v>65</v>
      </c>
      <c r="C58" s="65"/>
      <c r="D58" s="272" t="s">
        <v>64</v>
      </c>
      <c r="E58" s="65" t="s">
        <v>74</v>
      </c>
      <c r="F58" s="272" t="s">
        <v>69</v>
      </c>
      <c r="H58" s="270" t="s">
        <v>67</v>
      </c>
      <c r="I58" s="65" t="s">
        <v>81</v>
      </c>
      <c r="J58" s="65"/>
      <c r="K58" s="65"/>
      <c r="L58" s="65" t="s">
        <v>82</v>
      </c>
    </row>
    <row r="59" spans="2:14" ht="15.75" thickBot="1" x14ac:dyDescent="0.3">
      <c r="B59" s="272"/>
      <c r="D59" s="272"/>
      <c r="E59" s="66">
        <v>30</v>
      </c>
      <c r="F59" s="272"/>
      <c r="H59" s="270"/>
      <c r="I59" s="56">
        <v>0.05</v>
      </c>
      <c r="J59" s="56"/>
      <c r="K59" s="56"/>
      <c r="L59" s="57">
        <v>0.06</v>
      </c>
    </row>
    <row r="60" spans="2:14" ht="15.75" thickBot="1" x14ac:dyDescent="0.3">
      <c r="B60">
        <v>2020</v>
      </c>
      <c r="C60" s="24"/>
      <c r="D60" s="42">
        <f>+H35</f>
        <v>50000</v>
      </c>
      <c r="E60" s="42"/>
      <c r="F60" s="49">
        <f>SUM(F61:F75)</f>
        <v>14261000</v>
      </c>
      <c r="H60" s="49">
        <f>SUM(H61:H75)</f>
        <v>8239000</v>
      </c>
      <c r="I60" s="72">
        <f>NPV(I59,H61:H76)</f>
        <v>4820699.6741438434</v>
      </c>
      <c r="J60" s="29"/>
      <c r="K60" s="29"/>
      <c r="L60" s="73">
        <f>ROUNDDOWN(+I60*(1-L59),-5)</f>
        <v>4500000</v>
      </c>
    </row>
    <row r="61" spans="2:14" x14ac:dyDescent="0.25">
      <c r="B61">
        <v>2021</v>
      </c>
      <c r="C61">
        <v>1</v>
      </c>
      <c r="D61" s="42">
        <v>50000</v>
      </c>
      <c r="E61" s="67">
        <f t="shared" ref="E61:E75" si="5">+D61*$I$34</f>
        <v>1500000</v>
      </c>
      <c r="F61" s="68">
        <v>1250000</v>
      </c>
      <c r="H61" s="69">
        <f t="shared" ref="H61:H75" si="6">+E61-F61</f>
        <v>250000</v>
      </c>
      <c r="I61" s="29"/>
      <c r="J61" s="29"/>
      <c r="K61" s="29"/>
      <c r="L61" s="5"/>
    </row>
    <row r="62" spans="2:14" x14ac:dyDescent="0.25">
      <c r="B62">
        <v>2022</v>
      </c>
      <c r="C62">
        <v>2</v>
      </c>
      <c r="D62" s="42">
        <v>50000</v>
      </c>
      <c r="E62" s="27">
        <f t="shared" si="5"/>
        <v>1500000</v>
      </c>
      <c r="F62" s="27">
        <v>1250000</v>
      </c>
      <c r="H62" s="27">
        <f t="shared" si="6"/>
        <v>250000</v>
      </c>
      <c r="I62" s="29"/>
      <c r="J62" s="29"/>
      <c r="K62" s="29"/>
      <c r="L62" s="5"/>
    </row>
    <row r="63" spans="2:14" x14ac:dyDescent="0.25">
      <c r="B63">
        <v>2023</v>
      </c>
      <c r="C63">
        <v>3</v>
      </c>
      <c r="D63" s="42">
        <v>50000</v>
      </c>
      <c r="E63" s="27">
        <f t="shared" si="5"/>
        <v>1500000</v>
      </c>
      <c r="F63" s="27">
        <v>1250000</v>
      </c>
      <c r="H63" s="27">
        <f t="shared" si="6"/>
        <v>250000</v>
      </c>
      <c r="I63" s="29"/>
      <c r="J63" s="29"/>
      <c r="K63" s="29"/>
      <c r="L63" s="5"/>
    </row>
    <row r="64" spans="2:14" x14ac:dyDescent="0.25">
      <c r="B64">
        <v>2024</v>
      </c>
      <c r="C64">
        <v>4</v>
      </c>
      <c r="D64" s="42">
        <v>50000</v>
      </c>
      <c r="E64" s="27">
        <f t="shared" si="5"/>
        <v>1500000</v>
      </c>
      <c r="F64" s="27">
        <v>1250000</v>
      </c>
      <c r="H64" s="27">
        <f t="shared" si="6"/>
        <v>250000</v>
      </c>
      <c r="I64" s="29"/>
      <c r="J64" s="29"/>
      <c r="K64" s="29"/>
      <c r="L64" s="5"/>
    </row>
    <row r="65" spans="2:12" x14ac:dyDescent="0.25">
      <c r="B65">
        <v>2025</v>
      </c>
      <c r="C65">
        <v>5</v>
      </c>
      <c r="D65" s="42">
        <v>50000</v>
      </c>
      <c r="E65" s="27">
        <f t="shared" si="5"/>
        <v>1500000</v>
      </c>
      <c r="F65" s="27">
        <v>1250000</v>
      </c>
      <c r="H65" s="27">
        <f t="shared" si="6"/>
        <v>250000</v>
      </c>
      <c r="I65" s="29"/>
      <c r="J65" s="29"/>
      <c r="K65" s="29"/>
      <c r="L65" s="5"/>
    </row>
    <row r="66" spans="2:12" x14ac:dyDescent="0.25">
      <c r="B66">
        <v>2026</v>
      </c>
      <c r="C66">
        <v>6</v>
      </c>
      <c r="D66" s="42">
        <v>50000</v>
      </c>
      <c r="E66" s="27">
        <f t="shared" si="5"/>
        <v>1500000</v>
      </c>
      <c r="F66" s="27">
        <v>1250000</v>
      </c>
      <c r="H66" s="27">
        <f t="shared" si="6"/>
        <v>250000</v>
      </c>
      <c r="I66" s="29"/>
      <c r="J66" s="29"/>
      <c r="K66" s="29"/>
      <c r="L66" s="5"/>
    </row>
    <row r="67" spans="2:12" x14ac:dyDescent="0.25">
      <c r="B67">
        <v>2027</v>
      </c>
      <c r="C67">
        <v>7</v>
      </c>
      <c r="D67" s="42">
        <v>50000</v>
      </c>
      <c r="E67" s="27">
        <f t="shared" si="5"/>
        <v>1500000</v>
      </c>
      <c r="F67" s="27">
        <v>1250000</v>
      </c>
      <c r="H67" s="27">
        <f t="shared" si="6"/>
        <v>250000</v>
      </c>
      <c r="I67" s="29"/>
      <c r="J67" s="29"/>
      <c r="K67" s="29"/>
      <c r="L67" s="5"/>
    </row>
    <row r="68" spans="2:12" x14ac:dyDescent="0.25">
      <c r="B68">
        <v>2028</v>
      </c>
      <c r="C68">
        <v>8</v>
      </c>
      <c r="D68" s="42">
        <v>50000</v>
      </c>
      <c r="E68" s="27">
        <f t="shared" si="5"/>
        <v>1500000</v>
      </c>
      <c r="F68" s="27">
        <v>1250000</v>
      </c>
      <c r="H68" s="27">
        <f t="shared" si="6"/>
        <v>250000</v>
      </c>
      <c r="I68" s="29"/>
      <c r="J68" s="29"/>
      <c r="K68" s="29"/>
      <c r="L68" s="5"/>
    </row>
    <row r="69" spans="2:12" x14ac:dyDescent="0.25">
      <c r="B69">
        <v>2029</v>
      </c>
      <c r="C69">
        <v>9</v>
      </c>
      <c r="D69" s="42">
        <v>50000</v>
      </c>
      <c r="E69" s="27">
        <f t="shared" si="5"/>
        <v>1500000</v>
      </c>
      <c r="F69" s="27">
        <v>1250000</v>
      </c>
      <c r="H69" s="27">
        <f t="shared" si="6"/>
        <v>250000</v>
      </c>
      <c r="I69" s="29"/>
      <c r="J69" s="29"/>
      <c r="K69" s="29"/>
      <c r="L69" s="5"/>
    </row>
    <row r="70" spans="2:12" x14ac:dyDescent="0.25">
      <c r="B70">
        <v>2030</v>
      </c>
      <c r="C70">
        <v>10</v>
      </c>
      <c r="D70" s="42">
        <v>50000</v>
      </c>
      <c r="E70" s="27">
        <f t="shared" si="5"/>
        <v>1500000</v>
      </c>
      <c r="F70" s="27">
        <v>1250000</v>
      </c>
      <c r="H70" s="27">
        <f t="shared" si="6"/>
        <v>250000</v>
      </c>
      <c r="I70" s="29"/>
      <c r="J70" s="29"/>
      <c r="K70" s="29"/>
      <c r="L70" s="5"/>
    </row>
    <row r="71" spans="2:12" x14ac:dyDescent="0.25">
      <c r="B71">
        <v>2031</v>
      </c>
      <c r="C71">
        <v>11</v>
      </c>
      <c r="D71" s="42">
        <v>50000</v>
      </c>
      <c r="E71" s="27">
        <f t="shared" si="5"/>
        <v>1500000</v>
      </c>
      <c r="F71" s="27">
        <v>1250000</v>
      </c>
      <c r="H71" s="27">
        <f t="shared" si="6"/>
        <v>250000</v>
      </c>
      <c r="I71" s="29"/>
      <c r="J71" s="29"/>
      <c r="K71" s="29"/>
      <c r="L71" s="5"/>
    </row>
    <row r="72" spans="2:12" x14ac:dyDescent="0.25">
      <c r="B72">
        <v>2032</v>
      </c>
      <c r="C72">
        <v>12</v>
      </c>
      <c r="D72" s="42">
        <v>50000</v>
      </c>
      <c r="E72" s="27">
        <f t="shared" si="5"/>
        <v>1500000</v>
      </c>
      <c r="F72" s="27">
        <v>1250000</v>
      </c>
      <c r="H72" s="27">
        <f t="shared" si="6"/>
        <v>250000</v>
      </c>
      <c r="I72" s="29"/>
      <c r="J72" s="29"/>
      <c r="K72" s="29"/>
      <c r="L72" s="5"/>
    </row>
    <row r="73" spans="2:12" x14ac:dyDescent="0.25">
      <c r="B73">
        <v>2033</v>
      </c>
      <c r="C73">
        <v>13</v>
      </c>
      <c r="D73" s="42">
        <v>50000</v>
      </c>
      <c r="E73" s="27">
        <f t="shared" si="5"/>
        <v>1500000</v>
      </c>
      <c r="F73" s="27">
        <v>511000</v>
      </c>
      <c r="H73" s="27">
        <f t="shared" si="6"/>
        <v>989000</v>
      </c>
      <c r="I73" s="29"/>
      <c r="J73" s="29"/>
      <c r="K73" s="29"/>
      <c r="L73" s="5"/>
    </row>
    <row r="74" spans="2:12" x14ac:dyDescent="0.25">
      <c r="B74">
        <v>2034</v>
      </c>
      <c r="C74">
        <v>14</v>
      </c>
      <c r="D74" s="42">
        <v>50000</v>
      </c>
      <c r="E74" s="27">
        <f t="shared" si="5"/>
        <v>1500000</v>
      </c>
      <c r="F74" s="27"/>
      <c r="H74" s="27">
        <f t="shared" si="6"/>
        <v>1500000</v>
      </c>
      <c r="I74" s="29"/>
      <c r="J74" s="29"/>
      <c r="K74" s="29"/>
      <c r="L74" s="5"/>
    </row>
    <row r="75" spans="2:12" x14ac:dyDescent="0.25">
      <c r="B75">
        <v>2035</v>
      </c>
      <c r="C75">
        <v>15</v>
      </c>
      <c r="D75" s="42">
        <v>50000</v>
      </c>
      <c r="E75" s="27">
        <f t="shared" si="5"/>
        <v>1500000</v>
      </c>
      <c r="F75" s="27">
        <v>-1250000</v>
      </c>
      <c r="H75" s="27">
        <f t="shared" si="6"/>
        <v>2750000</v>
      </c>
      <c r="I75" s="29"/>
      <c r="J75" s="29"/>
      <c r="K75" s="29"/>
      <c r="L75" s="5"/>
    </row>
    <row r="76" spans="2:12" x14ac:dyDescent="0.25">
      <c r="B76" s="24"/>
      <c r="C76" s="25"/>
      <c r="D76" s="25"/>
      <c r="E76" s="29"/>
      <c r="F76" s="29"/>
      <c r="H76" s="29"/>
      <c r="I76" s="25"/>
      <c r="J76" s="25"/>
      <c r="K76" s="25"/>
    </row>
    <row r="77" spans="2:12" x14ac:dyDescent="0.25">
      <c r="B77" s="24"/>
      <c r="C77" s="25"/>
      <c r="D77" s="25"/>
      <c r="E77" s="29"/>
      <c r="F77" s="29"/>
      <c r="G77" s="29"/>
      <c r="H77" s="29"/>
      <c r="I77" s="25"/>
      <c r="J77" s="25"/>
      <c r="K77" s="25"/>
    </row>
    <row r="78" spans="2:12" ht="15.75" hidden="1" thickBot="1" x14ac:dyDescent="0.3">
      <c r="B78" s="273" t="s">
        <v>85</v>
      </c>
      <c r="C78" s="273"/>
      <c r="D78" s="273"/>
      <c r="E78" s="273"/>
      <c r="F78" s="273"/>
      <c r="G78" s="273"/>
      <c r="H78" s="46"/>
      <c r="I78" s="46"/>
      <c r="J78" s="46"/>
      <c r="K78" s="46"/>
      <c r="L78" s="46"/>
    </row>
    <row r="79" spans="2:12" hidden="1" x14ac:dyDescent="0.25">
      <c r="B79" s="24"/>
      <c r="C79" s="25"/>
      <c r="D79" s="25"/>
      <c r="E79" s="29"/>
      <c r="F79" s="29"/>
      <c r="G79" s="29"/>
      <c r="H79" s="25"/>
    </row>
    <row r="80" spans="2:12" hidden="1" x14ac:dyDescent="0.25">
      <c r="B80" s="274" t="s">
        <v>77</v>
      </c>
      <c r="C80" s="275"/>
      <c r="D80" s="275"/>
      <c r="E80" s="275"/>
      <c r="F80" s="275"/>
      <c r="G80" s="276"/>
    </row>
    <row r="81" spans="2:11" ht="30" hidden="1" x14ac:dyDescent="0.25">
      <c r="B81" s="272" t="s">
        <v>65</v>
      </c>
      <c r="C81" s="65"/>
      <c r="D81" s="272" t="s">
        <v>64</v>
      </c>
      <c r="E81" s="65" t="s">
        <v>74</v>
      </c>
      <c r="F81" s="272" t="s">
        <v>69</v>
      </c>
      <c r="G81" s="270" t="s">
        <v>67</v>
      </c>
      <c r="H81" s="65"/>
      <c r="I81" s="65"/>
      <c r="J81" s="65"/>
      <c r="K81" s="65"/>
    </row>
    <row r="82" spans="2:11" hidden="1" x14ac:dyDescent="0.25">
      <c r="B82" s="272"/>
      <c r="D82" s="272"/>
      <c r="E82" s="66">
        <v>30</v>
      </c>
      <c r="F82" s="272"/>
      <c r="G82" s="270"/>
      <c r="H82" s="56"/>
      <c r="I82" s="57"/>
      <c r="J82" s="57"/>
      <c r="K82" s="57"/>
    </row>
    <row r="83" spans="2:11" hidden="1" x14ac:dyDescent="0.25">
      <c r="B83">
        <v>2020</v>
      </c>
      <c r="C83" s="24"/>
      <c r="D83" s="42"/>
      <c r="E83" s="42"/>
      <c r="F83" s="49">
        <f>SUM(F84:F98)</f>
        <v>13011000</v>
      </c>
      <c r="G83" s="156">
        <f>SUM(G84:G98)</f>
        <v>8199000</v>
      </c>
      <c r="H83" s="29"/>
      <c r="I83" s="25"/>
      <c r="J83" s="25"/>
      <c r="K83" s="25"/>
    </row>
    <row r="84" spans="2:11" hidden="1" x14ac:dyDescent="0.25">
      <c r="B84">
        <v>2021</v>
      </c>
      <c r="D84" s="42"/>
      <c r="E84" s="67"/>
      <c r="F84" s="68"/>
      <c r="G84" s="69"/>
      <c r="H84" s="29"/>
      <c r="I84" s="48"/>
      <c r="J84" s="48"/>
      <c r="K84" s="48"/>
    </row>
    <row r="85" spans="2:11" hidden="1" x14ac:dyDescent="0.25">
      <c r="B85">
        <v>2022</v>
      </c>
      <c r="C85">
        <v>1</v>
      </c>
      <c r="D85" s="42">
        <f>+H36</f>
        <v>50500</v>
      </c>
      <c r="E85" s="27">
        <f t="shared" ref="E85:E98" si="7">+D85*$I$34</f>
        <v>1515000</v>
      </c>
      <c r="F85" s="27">
        <v>1250000</v>
      </c>
      <c r="G85" s="27">
        <f t="shared" ref="G85:G95" si="8">+E85-F85</f>
        <v>265000</v>
      </c>
      <c r="H85" s="29"/>
    </row>
    <row r="86" spans="2:11" hidden="1" x14ac:dyDescent="0.25">
      <c r="B86">
        <v>2023</v>
      </c>
      <c r="C86">
        <v>2</v>
      </c>
      <c r="D86" s="42">
        <f>+D85</f>
        <v>50500</v>
      </c>
      <c r="E86" s="27">
        <f t="shared" si="7"/>
        <v>1515000</v>
      </c>
      <c r="F86" s="27">
        <v>1250000</v>
      </c>
      <c r="G86" s="27">
        <f t="shared" si="8"/>
        <v>265000</v>
      </c>
      <c r="H86" s="29"/>
    </row>
    <row r="87" spans="2:11" hidden="1" x14ac:dyDescent="0.25">
      <c r="B87">
        <v>2024</v>
      </c>
      <c r="C87">
        <v>3</v>
      </c>
      <c r="D87" s="42">
        <f t="shared" ref="D87:D98" si="9">+D86</f>
        <v>50500</v>
      </c>
      <c r="E87" s="27">
        <f t="shared" si="7"/>
        <v>1515000</v>
      </c>
      <c r="F87" s="27">
        <v>1250000</v>
      </c>
      <c r="G87" s="27">
        <f t="shared" si="8"/>
        <v>265000</v>
      </c>
      <c r="H87" s="29"/>
    </row>
    <row r="88" spans="2:11" hidden="1" x14ac:dyDescent="0.25">
      <c r="B88">
        <v>2025</v>
      </c>
      <c r="C88">
        <v>4</v>
      </c>
      <c r="D88" s="42">
        <f t="shared" si="9"/>
        <v>50500</v>
      </c>
      <c r="E88" s="27">
        <f t="shared" si="7"/>
        <v>1515000</v>
      </c>
      <c r="F88" s="27">
        <v>1250000</v>
      </c>
      <c r="G88" s="27">
        <f t="shared" si="8"/>
        <v>265000</v>
      </c>
      <c r="H88" s="29"/>
    </row>
    <row r="89" spans="2:11" hidden="1" x14ac:dyDescent="0.25">
      <c r="B89">
        <v>2026</v>
      </c>
      <c r="C89">
        <v>5</v>
      </c>
      <c r="D89" s="42">
        <f t="shared" si="9"/>
        <v>50500</v>
      </c>
      <c r="E89" s="27">
        <f t="shared" si="7"/>
        <v>1515000</v>
      </c>
      <c r="F89" s="27">
        <v>1250000</v>
      </c>
      <c r="G89" s="27">
        <f t="shared" si="8"/>
        <v>265000</v>
      </c>
      <c r="H89" s="29"/>
    </row>
    <row r="90" spans="2:11" hidden="1" x14ac:dyDescent="0.25">
      <c r="B90">
        <v>2027</v>
      </c>
      <c r="C90">
        <v>6</v>
      </c>
      <c r="D90" s="42">
        <f t="shared" si="9"/>
        <v>50500</v>
      </c>
      <c r="E90" s="27">
        <f t="shared" si="7"/>
        <v>1515000</v>
      </c>
      <c r="F90" s="27">
        <v>1250000</v>
      </c>
      <c r="G90" s="27">
        <f t="shared" si="8"/>
        <v>265000</v>
      </c>
      <c r="H90" s="29"/>
    </row>
    <row r="91" spans="2:11" hidden="1" x14ac:dyDescent="0.25">
      <c r="B91">
        <v>2028</v>
      </c>
      <c r="C91">
        <v>7</v>
      </c>
      <c r="D91" s="42">
        <f t="shared" si="9"/>
        <v>50500</v>
      </c>
      <c r="E91" s="27">
        <f t="shared" si="7"/>
        <v>1515000</v>
      </c>
      <c r="F91" s="27">
        <v>1250000</v>
      </c>
      <c r="G91" s="27">
        <f t="shared" si="8"/>
        <v>265000</v>
      </c>
      <c r="H91" s="29"/>
    </row>
    <row r="92" spans="2:11" hidden="1" x14ac:dyDescent="0.25">
      <c r="B92">
        <v>2029</v>
      </c>
      <c r="C92">
        <v>8</v>
      </c>
      <c r="D92" s="42">
        <f t="shared" si="9"/>
        <v>50500</v>
      </c>
      <c r="E92" s="27">
        <f t="shared" si="7"/>
        <v>1515000</v>
      </c>
      <c r="F92" s="27">
        <v>1250000</v>
      </c>
      <c r="G92" s="27">
        <f t="shared" si="8"/>
        <v>265000</v>
      </c>
      <c r="H92" s="29"/>
    </row>
    <row r="93" spans="2:11" hidden="1" x14ac:dyDescent="0.25">
      <c r="B93">
        <v>2030</v>
      </c>
      <c r="C93">
        <v>9</v>
      </c>
      <c r="D93" s="42">
        <f t="shared" si="9"/>
        <v>50500</v>
      </c>
      <c r="E93" s="27">
        <f t="shared" si="7"/>
        <v>1515000</v>
      </c>
      <c r="F93" s="27">
        <v>1250000</v>
      </c>
      <c r="G93" s="27">
        <f t="shared" si="8"/>
        <v>265000</v>
      </c>
      <c r="H93" s="29"/>
    </row>
    <row r="94" spans="2:11" hidden="1" x14ac:dyDescent="0.25">
      <c r="B94">
        <v>2031</v>
      </c>
      <c r="C94">
        <v>10</v>
      </c>
      <c r="D94" s="42">
        <f t="shared" si="9"/>
        <v>50500</v>
      </c>
      <c r="E94" s="27">
        <f t="shared" si="7"/>
        <v>1515000</v>
      </c>
      <c r="F94" s="27">
        <v>1250000</v>
      </c>
      <c r="G94" s="27">
        <f t="shared" si="8"/>
        <v>265000</v>
      </c>
      <c r="H94" s="29"/>
    </row>
    <row r="95" spans="2:11" hidden="1" x14ac:dyDescent="0.25">
      <c r="B95">
        <v>2032</v>
      </c>
      <c r="C95">
        <v>11</v>
      </c>
      <c r="D95" s="42">
        <f t="shared" si="9"/>
        <v>50500</v>
      </c>
      <c r="E95" s="27">
        <f t="shared" si="7"/>
        <v>1515000</v>
      </c>
      <c r="F95" s="27">
        <v>1250000</v>
      </c>
      <c r="G95" s="27">
        <f t="shared" si="8"/>
        <v>265000</v>
      </c>
      <c r="H95" s="29"/>
    </row>
    <row r="96" spans="2:11" hidden="1" x14ac:dyDescent="0.25">
      <c r="B96">
        <v>2033</v>
      </c>
      <c r="C96">
        <v>12</v>
      </c>
      <c r="D96" s="42">
        <f t="shared" si="9"/>
        <v>50500</v>
      </c>
      <c r="E96" s="27">
        <f t="shared" si="7"/>
        <v>1515000</v>
      </c>
      <c r="F96" s="27">
        <v>511000</v>
      </c>
      <c r="G96" s="27">
        <f>+E96-F96</f>
        <v>1004000</v>
      </c>
      <c r="H96" s="29"/>
    </row>
    <row r="97" spans="2:11" hidden="1" x14ac:dyDescent="0.25">
      <c r="B97">
        <v>2034</v>
      </c>
      <c r="C97">
        <v>13</v>
      </c>
      <c r="D97" s="42">
        <f t="shared" si="9"/>
        <v>50500</v>
      </c>
      <c r="E97" s="27">
        <f t="shared" si="7"/>
        <v>1515000</v>
      </c>
      <c r="F97" s="27"/>
      <c r="G97" s="27">
        <f>+E97-F97</f>
        <v>1515000</v>
      </c>
      <c r="H97" s="29"/>
    </row>
    <row r="98" spans="2:11" hidden="1" x14ac:dyDescent="0.25">
      <c r="B98">
        <v>2035</v>
      </c>
      <c r="C98">
        <v>14</v>
      </c>
      <c r="D98" s="42">
        <f t="shared" si="9"/>
        <v>50500</v>
      </c>
      <c r="E98" s="27">
        <f t="shared" si="7"/>
        <v>1515000</v>
      </c>
      <c r="F98" s="27">
        <v>-1250000</v>
      </c>
      <c r="G98" s="27">
        <f>+E98-F98</f>
        <v>2765000</v>
      </c>
      <c r="H98" s="29"/>
    </row>
    <row r="99" spans="2:11" hidden="1" x14ac:dyDescent="0.25">
      <c r="B99" s="24"/>
      <c r="C99" s="25"/>
      <c r="D99" s="25"/>
      <c r="E99" s="29"/>
      <c r="F99" s="29"/>
      <c r="G99" s="29"/>
      <c r="H99" s="15"/>
    </row>
    <row r="100" spans="2:11" hidden="1" x14ac:dyDescent="0.25">
      <c r="B100" s="24"/>
      <c r="C100" s="25"/>
      <c r="D100" s="25"/>
      <c r="E100" s="29"/>
      <c r="F100" s="29"/>
      <c r="G100" s="29"/>
      <c r="H100" s="15"/>
    </row>
    <row r="101" spans="2:11" hidden="1" x14ac:dyDescent="0.25">
      <c r="B101" s="274" t="s">
        <v>78</v>
      </c>
      <c r="C101" s="275"/>
      <c r="D101" s="275"/>
      <c r="E101" s="275"/>
      <c r="F101" s="275"/>
      <c r="G101" s="276"/>
    </row>
    <row r="102" spans="2:11" ht="30" hidden="1" x14ac:dyDescent="0.25">
      <c r="B102" s="272" t="s">
        <v>65</v>
      </c>
      <c r="C102" s="65"/>
      <c r="D102" s="272" t="s">
        <v>64</v>
      </c>
      <c r="E102" s="65" t="s">
        <v>74</v>
      </c>
      <c r="F102" s="272" t="s">
        <v>69</v>
      </c>
      <c r="G102" s="270" t="s">
        <v>67</v>
      </c>
      <c r="H102" s="65"/>
      <c r="I102" s="65"/>
      <c r="J102" s="65"/>
      <c r="K102" s="65"/>
    </row>
    <row r="103" spans="2:11" hidden="1" x14ac:dyDescent="0.25">
      <c r="B103" s="272"/>
      <c r="D103" s="272"/>
      <c r="E103" s="66">
        <v>30</v>
      </c>
      <c r="F103" s="272"/>
      <c r="G103" s="270"/>
      <c r="H103" s="56"/>
      <c r="I103" s="57"/>
      <c r="J103" s="57"/>
      <c r="K103" s="57"/>
    </row>
    <row r="104" spans="2:11" hidden="1" x14ac:dyDescent="0.25">
      <c r="B104">
        <v>2020</v>
      </c>
      <c r="C104" s="24"/>
      <c r="D104" s="42"/>
      <c r="E104" s="42"/>
      <c r="F104" s="49">
        <f>SUM(F105:F119)</f>
        <v>11761000</v>
      </c>
      <c r="G104" s="156">
        <f>SUM(G105:G119)</f>
        <v>8130950</v>
      </c>
      <c r="H104" s="29"/>
      <c r="I104" s="25"/>
      <c r="J104" s="25"/>
      <c r="K104" s="25"/>
    </row>
    <row r="105" spans="2:11" hidden="1" x14ac:dyDescent="0.25">
      <c r="B105">
        <v>2021</v>
      </c>
      <c r="D105" s="42"/>
      <c r="E105" s="67"/>
      <c r="F105" s="68"/>
      <c r="G105" s="69"/>
      <c r="H105" s="29"/>
      <c r="I105" s="48"/>
      <c r="J105" s="48"/>
      <c r="K105" s="48"/>
    </row>
    <row r="106" spans="2:11" hidden="1" x14ac:dyDescent="0.25">
      <c r="B106">
        <v>2022</v>
      </c>
      <c r="D106" s="42"/>
      <c r="E106" s="27"/>
      <c r="F106" s="27"/>
      <c r="G106" s="27"/>
      <c r="H106" s="29"/>
    </row>
    <row r="107" spans="2:11" hidden="1" x14ac:dyDescent="0.25">
      <c r="B107">
        <v>2023</v>
      </c>
      <c r="C107">
        <v>1</v>
      </c>
      <c r="D107" s="42">
        <f>+H37</f>
        <v>51005</v>
      </c>
      <c r="E107" s="27">
        <f t="shared" ref="E107:E119" si="10">+D107*$I$34</f>
        <v>1530150</v>
      </c>
      <c r="F107" s="27">
        <v>1250000</v>
      </c>
      <c r="G107" s="27">
        <f t="shared" ref="G107:G116" si="11">+E107-F107</f>
        <v>280150</v>
      </c>
      <c r="H107" s="29"/>
    </row>
    <row r="108" spans="2:11" hidden="1" x14ac:dyDescent="0.25">
      <c r="B108">
        <v>2024</v>
      </c>
      <c r="C108">
        <v>2</v>
      </c>
      <c r="D108" s="42">
        <f t="shared" ref="D108:D119" si="12">+D107</f>
        <v>51005</v>
      </c>
      <c r="E108" s="27">
        <f t="shared" si="10"/>
        <v>1530150</v>
      </c>
      <c r="F108" s="27">
        <v>1250000</v>
      </c>
      <c r="G108" s="27">
        <f t="shared" si="11"/>
        <v>280150</v>
      </c>
      <c r="H108" s="29"/>
    </row>
    <row r="109" spans="2:11" hidden="1" x14ac:dyDescent="0.25">
      <c r="B109">
        <v>2025</v>
      </c>
      <c r="C109">
        <v>3</v>
      </c>
      <c r="D109" s="42">
        <f t="shared" si="12"/>
        <v>51005</v>
      </c>
      <c r="E109" s="27">
        <f t="shared" si="10"/>
        <v>1530150</v>
      </c>
      <c r="F109" s="27">
        <v>1250000</v>
      </c>
      <c r="G109" s="27">
        <f t="shared" si="11"/>
        <v>280150</v>
      </c>
      <c r="H109" s="29"/>
    </row>
    <row r="110" spans="2:11" hidden="1" x14ac:dyDescent="0.25">
      <c r="B110">
        <v>2026</v>
      </c>
      <c r="C110">
        <v>4</v>
      </c>
      <c r="D110" s="42">
        <f t="shared" si="12"/>
        <v>51005</v>
      </c>
      <c r="E110" s="27">
        <f t="shared" si="10"/>
        <v>1530150</v>
      </c>
      <c r="F110" s="27">
        <v>1250000</v>
      </c>
      <c r="G110" s="27">
        <f t="shared" si="11"/>
        <v>280150</v>
      </c>
      <c r="H110" s="29"/>
    </row>
    <row r="111" spans="2:11" hidden="1" x14ac:dyDescent="0.25">
      <c r="B111">
        <v>2027</v>
      </c>
      <c r="C111">
        <v>5</v>
      </c>
      <c r="D111" s="42">
        <f t="shared" si="12"/>
        <v>51005</v>
      </c>
      <c r="E111" s="27">
        <f t="shared" si="10"/>
        <v>1530150</v>
      </c>
      <c r="F111" s="27">
        <v>1250000</v>
      </c>
      <c r="G111" s="27">
        <f t="shared" si="11"/>
        <v>280150</v>
      </c>
      <c r="H111" s="29"/>
    </row>
    <row r="112" spans="2:11" hidden="1" x14ac:dyDescent="0.25">
      <c r="B112">
        <v>2028</v>
      </c>
      <c r="C112">
        <v>6</v>
      </c>
      <c r="D112" s="42">
        <f t="shared" si="12"/>
        <v>51005</v>
      </c>
      <c r="E112" s="27">
        <f t="shared" si="10"/>
        <v>1530150</v>
      </c>
      <c r="F112" s="27">
        <v>1250000</v>
      </c>
      <c r="G112" s="27">
        <f t="shared" si="11"/>
        <v>280150</v>
      </c>
      <c r="H112" s="29"/>
    </row>
    <row r="113" spans="2:11" hidden="1" x14ac:dyDescent="0.25">
      <c r="B113">
        <v>2029</v>
      </c>
      <c r="C113">
        <v>7</v>
      </c>
      <c r="D113" s="42">
        <f t="shared" si="12"/>
        <v>51005</v>
      </c>
      <c r="E113" s="27">
        <f t="shared" si="10"/>
        <v>1530150</v>
      </c>
      <c r="F113" s="27">
        <v>1250000</v>
      </c>
      <c r="G113" s="27">
        <f t="shared" si="11"/>
        <v>280150</v>
      </c>
      <c r="H113" s="29"/>
    </row>
    <row r="114" spans="2:11" hidden="1" x14ac:dyDescent="0.25">
      <c r="B114">
        <v>2030</v>
      </c>
      <c r="C114">
        <v>8</v>
      </c>
      <c r="D114" s="42">
        <f t="shared" si="12"/>
        <v>51005</v>
      </c>
      <c r="E114" s="27">
        <f t="shared" si="10"/>
        <v>1530150</v>
      </c>
      <c r="F114" s="27">
        <v>1250000</v>
      </c>
      <c r="G114" s="27">
        <f t="shared" si="11"/>
        <v>280150</v>
      </c>
      <c r="H114" s="29"/>
    </row>
    <row r="115" spans="2:11" hidden="1" x14ac:dyDescent="0.25">
      <c r="B115">
        <v>2031</v>
      </c>
      <c r="C115">
        <v>9</v>
      </c>
      <c r="D115" s="42">
        <f t="shared" si="12"/>
        <v>51005</v>
      </c>
      <c r="E115" s="27">
        <f t="shared" si="10"/>
        <v>1530150</v>
      </c>
      <c r="F115" s="27">
        <v>1250000</v>
      </c>
      <c r="G115" s="27">
        <f t="shared" si="11"/>
        <v>280150</v>
      </c>
      <c r="H115" s="29"/>
    </row>
    <row r="116" spans="2:11" hidden="1" x14ac:dyDescent="0.25">
      <c r="B116">
        <v>2032</v>
      </c>
      <c r="C116">
        <v>10</v>
      </c>
      <c r="D116" s="42">
        <f t="shared" si="12"/>
        <v>51005</v>
      </c>
      <c r="E116" s="27">
        <f t="shared" si="10"/>
        <v>1530150</v>
      </c>
      <c r="F116" s="27">
        <v>1250000</v>
      </c>
      <c r="G116" s="27">
        <f t="shared" si="11"/>
        <v>280150</v>
      </c>
      <c r="H116" s="29"/>
    </row>
    <row r="117" spans="2:11" hidden="1" x14ac:dyDescent="0.25">
      <c r="B117">
        <v>2033</v>
      </c>
      <c r="C117">
        <v>11</v>
      </c>
      <c r="D117" s="42">
        <f t="shared" si="12"/>
        <v>51005</v>
      </c>
      <c r="E117" s="27">
        <f t="shared" si="10"/>
        <v>1530150</v>
      </c>
      <c r="F117" s="27">
        <v>511000</v>
      </c>
      <c r="G117" s="27">
        <f>+E117-F117</f>
        <v>1019150</v>
      </c>
      <c r="H117" s="29"/>
    </row>
    <row r="118" spans="2:11" hidden="1" x14ac:dyDescent="0.25">
      <c r="B118">
        <v>2034</v>
      </c>
      <c r="C118">
        <v>12</v>
      </c>
      <c r="D118" s="42">
        <f t="shared" si="12"/>
        <v>51005</v>
      </c>
      <c r="E118" s="27">
        <f t="shared" si="10"/>
        <v>1530150</v>
      </c>
      <c r="F118" s="27"/>
      <c r="G118" s="27">
        <f>+E118-F118</f>
        <v>1530150</v>
      </c>
      <c r="H118" s="29"/>
    </row>
    <row r="119" spans="2:11" hidden="1" x14ac:dyDescent="0.25">
      <c r="B119">
        <v>2035</v>
      </c>
      <c r="C119">
        <v>13</v>
      </c>
      <c r="D119" s="42">
        <f t="shared" si="12"/>
        <v>51005</v>
      </c>
      <c r="E119" s="27">
        <f t="shared" si="10"/>
        <v>1530150</v>
      </c>
      <c r="F119" s="27">
        <v>-1250000</v>
      </c>
      <c r="G119" s="27">
        <f>+E119-F119</f>
        <v>2780150</v>
      </c>
      <c r="H119" s="29"/>
    </row>
    <row r="120" spans="2:11" hidden="1" x14ac:dyDescent="0.25">
      <c r="B120" s="24"/>
      <c r="C120" s="25"/>
      <c r="D120" s="25"/>
      <c r="E120" s="29"/>
      <c r="F120" s="29"/>
      <c r="G120" s="29"/>
    </row>
    <row r="121" spans="2:11" hidden="1" x14ac:dyDescent="0.25">
      <c r="B121" s="24"/>
      <c r="C121" s="25"/>
      <c r="D121" s="25"/>
      <c r="E121" s="29"/>
      <c r="F121" s="29"/>
      <c r="G121" s="29"/>
    </row>
    <row r="122" spans="2:11" hidden="1" x14ac:dyDescent="0.25">
      <c r="B122" s="274" t="s">
        <v>79</v>
      </c>
      <c r="C122" s="275"/>
      <c r="D122" s="275"/>
      <c r="E122" s="275"/>
      <c r="F122" s="275"/>
      <c r="G122" s="276"/>
    </row>
    <row r="123" spans="2:11" ht="30" hidden="1" x14ac:dyDescent="0.25">
      <c r="B123" s="272" t="s">
        <v>65</v>
      </c>
      <c r="C123" s="65"/>
      <c r="D123" s="272" t="s">
        <v>64</v>
      </c>
      <c r="E123" s="65" t="s">
        <v>74</v>
      </c>
      <c r="F123" s="272" t="s">
        <v>69</v>
      </c>
      <c r="G123" s="270" t="s">
        <v>67</v>
      </c>
      <c r="H123" s="65"/>
      <c r="I123" s="65"/>
      <c r="J123" s="65"/>
      <c r="K123" s="65"/>
    </row>
    <row r="124" spans="2:11" hidden="1" x14ac:dyDescent="0.25">
      <c r="B124" s="272"/>
      <c r="D124" s="272"/>
      <c r="E124" s="66">
        <v>30</v>
      </c>
      <c r="F124" s="272"/>
      <c r="G124" s="270"/>
      <c r="H124" s="56"/>
      <c r="I124" s="57"/>
      <c r="J124" s="57"/>
      <c r="K124" s="57"/>
    </row>
    <row r="125" spans="2:11" hidden="1" x14ac:dyDescent="0.25">
      <c r="B125">
        <v>2020</v>
      </c>
      <c r="C125" s="24"/>
      <c r="D125" s="42"/>
      <c r="E125" s="42"/>
      <c r="F125" s="49">
        <f>SUM(F126:F140)</f>
        <v>10511000</v>
      </c>
      <c r="G125" s="156">
        <f>SUM(G126:G140)</f>
        <v>8034400</v>
      </c>
      <c r="H125" s="29"/>
      <c r="I125" s="25"/>
      <c r="J125" s="25"/>
      <c r="K125" s="25"/>
    </row>
    <row r="126" spans="2:11" hidden="1" x14ac:dyDescent="0.25">
      <c r="B126">
        <v>2021</v>
      </c>
      <c r="D126" s="42"/>
      <c r="E126" s="67"/>
      <c r="F126" s="68"/>
      <c r="G126" s="69"/>
      <c r="H126" s="29"/>
      <c r="I126" s="48"/>
      <c r="J126" s="48"/>
      <c r="K126" s="48"/>
    </row>
    <row r="127" spans="2:11" hidden="1" x14ac:dyDescent="0.25">
      <c r="B127">
        <v>2022</v>
      </c>
      <c r="D127" s="42"/>
      <c r="E127" s="27"/>
      <c r="F127" s="27"/>
      <c r="G127" s="27"/>
      <c r="H127" s="29"/>
    </row>
    <row r="128" spans="2:11" hidden="1" x14ac:dyDescent="0.25">
      <c r="B128">
        <v>2023</v>
      </c>
      <c r="D128" s="42"/>
      <c r="E128" s="27"/>
      <c r="F128" s="27"/>
      <c r="G128" s="27"/>
      <c r="H128" s="29"/>
    </row>
    <row r="129" spans="2:11" hidden="1" x14ac:dyDescent="0.25">
      <c r="B129">
        <v>2024</v>
      </c>
      <c r="C129">
        <v>1</v>
      </c>
      <c r="D129" s="42">
        <f>+H38</f>
        <v>51515</v>
      </c>
      <c r="E129" s="27">
        <f t="shared" ref="E129:E140" si="13">+D129*$I$34</f>
        <v>1545450</v>
      </c>
      <c r="F129" s="27">
        <v>1250000</v>
      </c>
      <c r="G129" s="27">
        <f t="shared" ref="G129:G137" si="14">+E129-F129</f>
        <v>295450</v>
      </c>
      <c r="H129" s="29"/>
    </row>
    <row r="130" spans="2:11" hidden="1" x14ac:dyDescent="0.25">
      <c r="B130">
        <v>2025</v>
      </c>
      <c r="C130">
        <v>2</v>
      </c>
      <c r="D130" s="42">
        <f t="shared" ref="D130:D140" si="15">+D129</f>
        <v>51515</v>
      </c>
      <c r="E130" s="27">
        <f t="shared" si="13"/>
        <v>1545450</v>
      </c>
      <c r="F130" s="27">
        <v>1250000</v>
      </c>
      <c r="G130" s="27">
        <f t="shared" si="14"/>
        <v>295450</v>
      </c>
      <c r="H130" s="29"/>
    </row>
    <row r="131" spans="2:11" hidden="1" x14ac:dyDescent="0.25">
      <c r="B131">
        <v>2026</v>
      </c>
      <c r="C131">
        <v>3</v>
      </c>
      <c r="D131" s="42">
        <f t="shared" si="15"/>
        <v>51515</v>
      </c>
      <c r="E131" s="27">
        <f t="shared" si="13"/>
        <v>1545450</v>
      </c>
      <c r="F131" s="27">
        <v>1250000</v>
      </c>
      <c r="G131" s="27">
        <f t="shared" si="14"/>
        <v>295450</v>
      </c>
      <c r="H131" s="29"/>
    </row>
    <row r="132" spans="2:11" hidden="1" x14ac:dyDescent="0.25">
      <c r="B132">
        <v>2027</v>
      </c>
      <c r="C132">
        <v>4</v>
      </c>
      <c r="D132" s="42">
        <f t="shared" si="15"/>
        <v>51515</v>
      </c>
      <c r="E132" s="27">
        <f t="shared" si="13"/>
        <v>1545450</v>
      </c>
      <c r="F132" s="27">
        <v>1250000</v>
      </c>
      <c r="G132" s="27">
        <f t="shared" si="14"/>
        <v>295450</v>
      </c>
      <c r="H132" s="29"/>
    </row>
    <row r="133" spans="2:11" hidden="1" x14ac:dyDescent="0.25">
      <c r="B133">
        <v>2028</v>
      </c>
      <c r="C133">
        <v>5</v>
      </c>
      <c r="D133" s="42">
        <f t="shared" si="15"/>
        <v>51515</v>
      </c>
      <c r="E133" s="27">
        <f t="shared" si="13"/>
        <v>1545450</v>
      </c>
      <c r="F133" s="27">
        <v>1250000</v>
      </c>
      <c r="G133" s="27">
        <f t="shared" si="14"/>
        <v>295450</v>
      </c>
      <c r="H133" s="29"/>
    </row>
    <row r="134" spans="2:11" hidden="1" x14ac:dyDescent="0.25">
      <c r="B134">
        <v>2029</v>
      </c>
      <c r="C134">
        <v>6</v>
      </c>
      <c r="D134" s="42">
        <f t="shared" si="15"/>
        <v>51515</v>
      </c>
      <c r="E134" s="27">
        <f t="shared" si="13"/>
        <v>1545450</v>
      </c>
      <c r="F134" s="27">
        <v>1250000</v>
      </c>
      <c r="G134" s="27">
        <f t="shared" si="14"/>
        <v>295450</v>
      </c>
      <c r="H134" s="29"/>
    </row>
    <row r="135" spans="2:11" hidden="1" x14ac:dyDescent="0.25">
      <c r="B135">
        <v>2030</v>
      </c>
      <c r="C135">
        <v>7</v>
      </c>
      <c r="D135" s="42">
        <f t="shared" si="15"/>
        <v>51515</v>
      </c>
      <c r="E135" s="27">
        <f t="shared" si="13"/>
        <v>1545450</v>
      </c>
      <c r="F135" s="27">
        <v>1250000</v>
      </c>
      <c r="G135" s="27">
        <f t="shared" si="14"/>
        <v>295450</v>
      </c>
      <c r="H135" s="29"/>
    </row>
    <row r="136" spans="2:11" hidden="1" x14ac:dyDescent="0.25">
      <c r="B136">
        <v>2031</v>
      </c>
      <c r="C136">
        <v>8</v>
      </c>
      <c r="D136" s="42">
        <f t="shared" si="15"/>
        <v>51515</v>
      </c>
      <c r="E136" s="27">
        <f t="shared" si="13"/>
        <v>1545450</v>
      </c>
      <c r="F136" s="27">
        <v>1250000</v>
      </c>
      <c r="G136" s="27">
        <f t="shared" si="14"/>
        <v>295450</v>
      </c>
      <c r="H136" s="29"/>
    </row>
    <row r="137" spans="2:11" hidden="1" x14ac:dyDescent="0.25">
      <c r="B137">
        <v>2032</v>
      </c>
      <c r="C137">
        <v>9</v>
      </c>
      <c r="D137" s="42">
        <f t="shared" si="15"/>
        <v>51515</v>
      </c>
      <c r="E137" s="27">
        <f t="shared" si="13"/>
        <v>1545450</v>
      </c>
      <c r="F137" s="27">
        <v>1250000</v>
      </c>
      <c r="G137" s="27">
        <f t="shared" si="14"/>
        <v>295450</v>
      </c>
      <c r="H137" s="29"/>
    </row>
    <row r="138" spans="2:11" hidden="1" x14ac:dyDescent="0.25">
      <c r="B138">
        <v>2033</v>
      </c>
      <c r="C138">
        <v>10</v>
      </c>
      <c r="D138" s="42">
        <f t="shared" si="15"/>
        <v>51515</v>
      </c>
      <c r="E138" s="27">
        <f t="shared" si="13"/>
        <v>1545450</v>
      </c>
      <c r="F138" s="27">
        <v>511000</v>
      </c>
      <c r="G138" s="27">
        <f>+E138-F138</f>
        <v>1034450</v>
      </c>
      <c r="H138" s="29"/>
    </row>
    <row r="139" spans="2:11" hidden="1" x14ac:dyDescent="0.25">
      <c r="B139">
        <v>2034</v>
      </c>
      <c r="C139">
        <v>11</v>
      </c>
      <c r="D139" s="42">
        <f t="shared" si="15"/>
        <v>51515</v>
      </c>
      <c r="E139" s="27">
        <f t="shared" si="13"/>
        <v>1545450</v>
      </c>
      <c r="F139" s="27"/>
      <c r="G139" s="27">
        <f>+E139-F139</f>
        <v>1545450</v>
      </c>
      <c r="H139" s="29"/>
    </row>
    <row r="140" spans="2:11" hidden="1" x14ac:dyDescent="0.25">
      <c r="B140">
        <v>2035</v>
      </c>
      <c r="C140">
        <v>12</v>
      </c>
      <c r="D140" s="42">
        <f t="shared" si="15"/>
        <v>51515</v>
      </c>
      <c r="E140" s="27">
        <f t="shared" si="13"/>
        <v>1545450</v>
      </c>
      <c r="F140" s="27">
        <v>-1250000</v>
      </c>
      <c r="G140" s="27">
        <f>+E140-F140</f>
        <v>2795450</v>
      </c>
      <c r="H140" s="29"/>
    </row>
    <row r="141" spans="2:11" hidden="1" x14ac:dyDescent="0.25">
      <c r="D141" s="25"/>
      <c r="E141" s="68"/>
      <c r="G141" s="27"/>
      <c r="H141" s="33"/>
    </row>
    <row r="142" spans="2:11" hidden="1" x14ac:dyDescent="0.25"/>
    <row r="143" spans="2:11" hidden="1" x14ac:dyDescent="0.25">
      <c r="B143" s="274" t="s">
        <v>84</v>
      </c>
      <c r="C143" s="275"/>
      <c r="D143" s="275"/>
      <c r="E143" s="275"/>
      <c r="F143" s="275"/>
      <c r="G143" s="276"/>
    </row>
    <row r="144" spans="2:11" ht="30" hidden="1" x14ac:dyDescent="0.25">
      <c r="B144" s="272" t="s">
        <v>65</v>
      </c>
      <c r="C144" s="65"/>
      <c r="D144" s="272" t="s">
        <v>64</v>
      </c>
      <c r="E144" s="65" t="s">
        <v>74</v>
      </c>
      <c r="F144" s="272" t="s">
        <v>69</v>
      </c>
      <c r="G144" s="270" t="s">
        <v>67</v>
      </c>
      <c r="H144" s="65"/>
      <c r="I144" s="65"/>
      <c r="J144" s="65"/>
      <c r="K144" s="65"/>
    </row>
    <row r="145" spans="2:11" hidden="1" x14ac:dyDescent="0.25">
      <c r="B145" s="272"/>
      <c r="D145" s="272"/>
      <c r="E145" s="66">
        <v>30</v>
      </c>
      <c r="F145" s="272"/>
      <c r="G145" s="270"/>
      <c r="H145" s="56"/>
      <c r="I145" s="57"/>
      <c r="J145" s="57"/>
      <c r="K145" s="57"/>
    </row>
    <row r="146" spans="2:11" hidden="1" x14ac:dyDescent="0.25">
      <c r="B146">
        <v>2020</v>
      </c>
      <c r="C146" s="24"/>
      <c r="D146" s="42"/>
      <c r="E146" s="42"/>
      <c r="F146" s="49">
        <f>SUM(F147:F161)</f>
        <v>9261000</v>
      </c>
      <c r="G146" s="156">
        <f>SUM(G147:G161)</f>
        <v>7908900</v>
      </c>
      <c r="H146" s="29"/>
      <c r="I146" s="25"/>
      <c r="J146" s="25"/>
      <c r="K146" s="25"/>
    </row>
    <row r="147" spans="2:11" hidden="1" x14ac:dyDescent="0.25">
      <c r="B147">
        <v>2021</v>
      </c>
      <c r="D147" s="42"/>
      <c r="E147" s="67"/>
      <c r="F147" s="68"/>
      <c r="G147" s="69"/>
      <c r="H147" s="29"/>
      <c r="I147" s="48"/>
      <c r="J147" s="48"/>
      <c r="K147" s="48"/>
    </row>
    <row r="148" spans="2:11" hidden="1" x14ac:dyDescent="0.25">
      <c r="B148">
        <v>2022</v>
      </c>
      <c r="D148" s="42"/>
      <c r="E148" s="27"/>
      <c r="F148" s="27"/>
      <c r="G148" s="27"/>
      <c r="H148" s="29"/>
    </row>
    <row r="149" spans="2:11" hidden="1" x14ac:dyDescent="0.25">
      <c r="B149">
        <v>2023</v>
      </c>
      <c r="D149" s="42"/>
      <c r="E149" s="27"/>
      <c r="F149" s="27"/>
      <c r="G149" s="27"/>
      <c r="H149" s="29"/>
    </row>
    <row r="150" spans="2:11" hidden="1" x14ac:dyDescent="0.25">
      <c r="B150">
        <v>2024</v>
      </c>
      <c r="D150" s="42"/>
      <c r="E150" s="27"/>
      <c r="F150" s="27"/>
      <c r="G150" s="27"/>
      <c r="H150" s="29"/>
    </row>
    <row r="151" spans="2:11" hidden="1" x14ac:dyDescent="0.25">
      <c r="B151">
        <v>2025</v>
      </c>
      <c r="C151">
        <v>1</v>
      </c>
      <c r="D151" s="42">
        <f>+H39</f>
        <v>52030</v>
      </c>
      <c r="E151" s="27">
        <f t="shared" ref="E151:E161" si="16">+D151*$I$34</f>
        <v>1560900</v>
      </c>
      <c r="F151" s="27">
        <v>1250000</v>
      </c>
      <c r="G151" s="27">
        <f t="shared" ref="G151:G158" si="17">+E151-F151</f>
        <v>310900</v>
      </c>
      <c r="H151" s="29"/>
    </row>
    <row r="152" spans="2:11" hidden="1" x14ac:dyDescent="0.25">
      <c r="B152">
        <v>2026</v>
      </c>
      <c r="C152">
        <v>2</v>
      </c>
      <c r="D152" s="42">
        <f t="shared" ref="D152:D161" si="18">+D151</f>
        <v>52030</v>
      </c>
      <c r="E152" s="27">
        <f t="shared" si="16"/>
        <v>1560900</v>
      </c>
      <c r="F152" s="27">
        <v>1250000</v>
      </c>
      <c r="G152" s="27">
        <f t="shared" si="17"/>
        <v>310900</v>
      </c>
      <c r="H152" s="29"/>
    </row>
    <row r="153" spans="2:11" hidden="1" x14ac:dyDescent="0.25">
      <c r="B153">
        <v>2027</v>
      </c>
      <c r="C153">
        <v>3</v>
      </c>
      <c r="D153" s="42">
        <f t="shared" si="18"/>
        <v>52030</v>
      </c>
      <c r="E153" s="27">
        <f t="shared" si="16"/>
        <v>1560900</v>
      </c>
      <c r="F153" s="27">
        <v>1250000</v>
      </c>
      <c r="G153" s="27">
        <f t="shared" si="17"/>
        <v>310900</v>
      </c>
      <c r="H153" s="29"/>
    </row>
    <row r="154" spans="2:11" hidden="1" x14ac:dyDescent="0.25">
      <c r="B154">
        <v>2028</v>
      </c>
      <c r="C154">
        <v>4</v>
      </c>
      <c r="D154" s="42">
        <f t="shared" si="18"/>
        <v>52030</v>
      </c>
      <c r="E154" s="27">
        <f t="shared" si="16"/>
        <v>1560900</v>
      </c>
      <c r="F154" s="27">
        <v>1250000</v>
      </c>
      <c r="G154" s="27">
        <f t="shared" si="17"/>
        <v>310900</v>
      </c>
      <c r="H154" s="29"/>
    </row>
    <row r="155" spans="2:11" hidden="1" x14ac:dyDescent="0.25">
      <c r="B155">
        <v>2029</v>
      </c>
      <c r="C155">
        <v>5</v>
      </c>
      <c r="D155" s="42">
        <f t="shared" si="18"/>
        <v>52030</v>
      </c>
      <c r="E155" s="27">
        <f t="shared" si="16"/>
        <v>1560900</v>
      </c>
      <c r="F155" s="27">
        <v>1250000</v>
      </c>
      <c r="G155" s="27">
        <f t="shared" si="17"/>
        <v>310900</v>
      </c>
      <c r="H155" s="29"/>
    </row>
    <row r="156" spans="2:11" hidden="1" x14ac:dyDescent="0.25">
      <c r="B156">
        <v>2030</v>
      </c>
      <c r="C156">
        <v>6</v>
      </c>
      <c r="D156" s="42">
        <f t="shared" si="18"/>
        <v>52030</v>
      </c>
      <c r="E156" s="27">
        <f t="shared" si="16"/>
        <v>1560900</v>
      </c>
      <c r="F156" s="27">
        <v>1250000</v>
      </c>
      <c r="G156" s="27">
        <f t="shared" si="17"/>
        <v>310900</v>
      </c>
      <c r="H156" s="29"/>
    </row>
    <row r="157" spans="2:11" hidden="1" x14ac:dyDescent="0.25">
      <c r="B157">
        <v>2031</v>
      </c>
      <c r="C157">
        <v>7</v>
      </c>
      <c r="D157" s="42">
        <f t="shared" si="18"/>
        <v>52030</v>
      </c>
      <c r="E157" s="27">
        <f t="shared" si="16"/>
        <v>1560900</v>
      </c>
      <c r="F157" s="27">
        <v>1250000</v>
      </c>
      <c r="G157" s="27">
        <f t="shared" si="17"/>
        <v>310900</v>
      </c>
      <c r="H157" s="29"/>
    </row>
    <row r="158" spans="2:11" hidden="1" x14ac:dyDescent="0.25">
      <c r="B158">
        <v>2032</v>
      </c>
      <c r="C158">
        <v>8</v>
      </c>
      <c r="D158" s="42">
        <f t="shared" si="18"/>
        <v>52030</v>
      </c>
      <c r="E158" s="27">
        <f t="shared" si="16"/>
        <v>1560900</v>
      </c>
      <c r="F158" s="27">
        <v>1250000</v>
      </c>
      <c r="G158" s="27">
        <f t="shared" si="17"/>
        <v>310900</v>
      </c>
      <c r="H158" s="29"/>
    </row>
    <row r="159" spans="2:11" hidden="1" x14ac:dyDescent="0.25">
      <c r="B159">
        <v>2033</v>
      </c>
      <c r="C159">
        <v>9</v>
      </c>
      <c r="D159" s="42">
        <f t="shared" si="18"/>
        <v>52030</v>
      </c>
      <c r="E159" s="27">
        <f t="shared" si="16"/>
        <v>1560900</v>
      </c>
      <c r="F159" s="27">
        <v>511000</v>
      </c>
      <c r="G159" s="27">
        <f>+E159-F159</f>
        <v>1049900</v>
      </c>
      <c r="H159" s="29"/>
    </row>
    <row r="160" spans="2:11" hidden="1" x14ac:dyDescent="0.25">
      <c r="B160">
        <v>2034</v>
      </c>
      <c r="C160">
        <v>10</v>
      </c>
      <c r="D160" s="42">
        <f t="shared" si="18"/>
        <v>52030</v>
      </c>
      <c r="E160" s="27">
        <f t="shared" si="16"/>
        <v>1560900</v>
      </c>
      <c r="F160" s="27"/>
      <c r="G160" s="27">
        <f>+E160-F160</f>
        <v>1560900</v>
      </c>
      <c r="H160" s="29"/>
    </row>
    <row r="161" spans="2:11" hidden="1" x14ac:dyDescent="0.25">
      <c r="B161">
        <v>2035</v>
      </c>
      <c r="C161">
        <v>11</v>
      </c>
      <c r="D161" s="42">
        <f t="shared" si="18"/>
        <v>52030</v>
      </c>
      <c r="E161" s="27">
        <f t="shared" si="16"/>
        <v>1560900</v>
      </c>
      <c r="F161" s="27">
        <v>-1250000</v>
      </c>
      <c r="G161" s="27">
        <f>+E161-F161</f>
        <v>2810900</v>
      </c>
      <c r="H161" s="29"/>
    </row>
    <row r="162" spans="2:11" hidden="1" x14ac:dyDescent="0.25"/>
    <row r="163" spans="2:11" hidden="1" x14ac:dyDescent="0.25"/>
    <row r="164" spans="2:11" hidden="1" x14ac:dyDescent="0.25">
      <c r="B164" s="274" t="s">
        <v>86</v>
      </c>
      <c r="C164" s="275"/>
      <c r="D164" s="275"/>
      <c r="E164" s="275"/>
      <c r="F164" s="275"/>
      <c r="G164" s="276"/>
    </row>
    <row r="165" spans="2:11" ht="30" hidden="1" x14ac:dyDescent="0.25">
      <c r="B165" s="272" t="s">
        <v>65</v>
      </c>
      <c r="C165" s="65"/>
      <c r="D165" s="272" t="s">
        <v>64</v>
      </c>
      <c r="E165" s="65" t="s">
        <v>74</v>
      </c>
      <c r="F165" s="272" t="s">
        <v>69</v>
      </c>
      <c r="G165" s="270" t="s">
        <v>67</v>
      </c>
      <c r="H165" s="65"/>
      <c r="I165" s="65"/>
      <c r="J165" s="65"/>
      <c r="K165" s="65"/>
    </row>
    <row r="166" spans="2:11" hidden="1" x14ac:dyDescent="0.25">
      <c r="B166" s="272"/>
      <c r="D166" s="272"/>
      <c r="E166" s="66">
        <v>30</v>
      </c>
      <c r="F166" s="272"/>
      <c r="G166" s="270"/>
      <c r="H166" s="56"/>
      <c r="I166" s="57"/>
      <c r="J166" s="57"/>
      <c r="K166" s="57"/>
    </row>
    <row r="167" spans="2:11" hidden="1" x14ac:dyDescent="0.25">
      <c r="B167">
        <v>2020</v>
      </c>
      <c r="C167" s="24"/>
      <c r="D167" s="42"/>
      <c r="E167" s="42"/>
      <c r="F167" s="49">
        <f>SUM(F168:F182)</f>
        <v>8011000</v>
      </c>
      <c r="G167" s="156">
        <f>SUM(G168:G182)</f>
        <v>7754000</v>
      </c>
      <c r="H167" s="29"/>
      <c r="I167" s="25"/>
      <c r="J167" s="25"/>
      <c r="K167" s="25"/>
    </row>
    <row r="168" spans="2:11" hidden="1" x14ac:dyDescent="0.25">
      <c r="B168">
        <v>2021</v>
      </c>
      <c r="D168" s="42"/>
      <c r="E168" s="67"/>
      <c r="F168" s="68"/>
      <c r="G168" s="69"/>
      <c r="H168" s="29"/>
      <c r="I168" s="48"/>
      <c r="J168" s="48"/>
      <c r="K168" s="48"/>
    </row>
    <row r="169" spans="2:11" hidden="1" x14ac:dyDescent="0.25">
      <c r="B169">
        <v>2022</v>
      </c>
      <c r="D169" s="42"/>
      <c r="E169" s="27"/>
      <c r="F169" s="27"/>
      <c r="G169" s="27"/>
      <c r="H169" s="29"/>
    </row>
    <row r="170" spans="2:11" hidden="1" x14ac:dyDescent="0.25">
      <c r="B170">
        <v>2023</v>
      </c>
      <c r="D170" s="42"/>
      <c r="E170" s="27"/>
      <c r="F170" s="27"/>
      <c r="G170" s="27"/>
      <c r="H170" s="29"/>
    </row>
    <row r="171" spans="2:11" hidden="1" x14ac:dyDescent="0.25">
      <c r="B171">
        <v>2024</v>
      </c>
      <c r="D171" s="42"/>
      <c r="E171" s="27"/>
      <c r="F171" s="27"/>
      <c r="G171" s="27"/>
      <c r="H171" s="29"/>
    </row>
    <row r="172" spans="2:11" hidden="1" x14ac:dyDescent="0.25">
      <c r="B172">
        <v>2025</v>
      </c>
      <c r="D172" s="42"/>
      <c r="E172" s="27"/>
      <c r="F172" s="27"/>
      <c r="G172" s="27"/>
      <c r="H172" s="29"/>
    </row>
    <row r="173" spans="2:11" hidden="1" x14ac:dyDescent="0.25">
      <c r="B173">
        <v>2026</v>
      </c>
      <c r="C173">
        <v>1</v>
      </c>
      <c r="D173" s="42">
        <f>+H40</f>
        <v>52550</v>
      </c>
      <c r="E173" s="27">
        <f t="shared" ref="E173:E182" si="19">+D173*$I$34</f>
        <v>1576500</v>
      </c>
      <c r="F173" s="27">
        <v>1250000</v>
      </c>
      <c r="G173" s="27">
        <f t="shared" ref="G173:G179" si="20">+E173-F173</f>
        <v>326500</v>
      </c>
      <c r="H173" s="29"/>
    </row>
    <row r="174" spans="2:11" hidden="1" x14ac:dyDescent="0.25">
      <c r="B174">
        <v>2027</v>
      </c>
      <c r="C174">
        <v>2</v>
      </c>
      <c r="D174" s="42">
        <f t="shared" ref="D174:D182" si="21">+D173</f>
        <v>52550</v>
      </c>
      <c r="E174" s="27">
        <f t="shared" si="19"/>
        <v>1576500</v>
      </c>
      <c r="F174" s="27">
        <v>1250000</v>
      </c>
      <c r="G174" s="27">
        <f t="shared" si="20"/>
        <v>326500</v>
      </c>
      <c r="H174" s="29"/>
    </row>
    <row r="175" spans="2:11" hidden="1" x14ac:dyDescent="0.25">
      <c r="B175">
        <v>2028</v>
      </c>
      <c r="C175">
        <v>3</v>
      </c>
      <c r="D175" s="42">
        <f t="shared" si="21"/>
        <v>52550</v>
      </c>
      <c r="E175" s="27">
        <f t="shared" si="19"/>
        <v>1576500</v>
      </c>
      <c r="F175" s="27">
        <v>1250000</v>
      </c>
      <c r="G175" s="27">
        <f t="shared" si="20"/>
        <v>326500</v>
      </c>
      <c r="H175" s="29"/>
    </row>
    <row r="176" spans="2:11" hidden="1" x14ac:dyDescent="0.25">
      <c r="B176">
        <v>2029</v>
      </c>
      <c r="C176">
        <v>4</v>
      </c>
      <c r="D176" s="42">
        <f t="shared" si="21"/>
        <v>52550</v>
      </c>
      <c r="E176" s="27">
        <f t="shared" si="19"/>
        <v>1576500</v>
      </c>
      <c r="F176" s="27">
        <v>1250000</v>
      </c>
      <c r="G176" s="27">
        <f t="shared" si="20"/>
        <v>326500</v>
      </c>
      <c r="H176" s="29"/>
    </row>
    <row r="177" spans="2:11" hidden="1" x14ac:dyDescent="0.25">
      <c r="B177">
        <v>2030</v>
      </c>
      <c r="C177">
        <v>5</v>
      </c>
      <c r="D177" s="42">
        <f t="shared" si="21"/>
        <v>52550</v>
      </c>
      <c r="E177" s="27">
        <f t="shared" si="19"/>
        <v>1576500</v>
      </c>
      <c r="F177" s="27">
        <v>1250000</v>
      </c>
      <c r="G177" s="27">
        <f t="shared" si="20"/>
        <v>326500</v>
      </c>
      <c r="H177" s="29"/>
    </row>
    <row r="178" spans="2:11" hidden="1" x14ac:dyDescent="0.25">
      <c r="B178">
        <v>2031</v>
      </c>
      <c r="C178">
        <v>6</v>
      </c>
      <c r="D178" s="42">
        <f t="shared" si="21"/>
        <v>52550</v>
      </c>
      <c r="E178" s="27">
        <f t="shared" si="19"/>
        <v>1576500</v>
      </c>
      <c r="F178" s="27">
        <v>1250000</v>
      </c>
      <c r="G178" s="27">
        <f t="shared" si="20"/>
        <v>326500</v>
      </c>
      <c r="H178" s="29"/>
    </row>
    <row r="179" spans="2:11" hidden="1" x14ac:dyDescent="0.25">
      <c r="B179">
        <v>2032</v>
      </c>
      <c r="C179">
        <v>7</v>
      </c>
      <c r="D179" s="42">
        <f t="shared" si="21"/>
        <v>52550</v>
      </c>
      <c r="E179" s="27">
        <f t="shared" si="19"/>
        <v>1576500</v>
      </c>
      <c r="F179" s="27">
        <v>1250000</v>
      </c>
      <c r="G179" s="27">
        <f t="shared" si="20"/>
        <v>326500</v>
      </c>
      <c r="H179" s="29"/>
    </row>
    <row r="180" spans="2:11" hidden="1" x14ac:dyDescent="0.25">
      <c r="B180">
        <v>2033</v>
      </c>
      <c r="C180">
        <v>8</v>
      </c>
      <c r="D180" s="42">
        <f t="shared" si="21"/>
        <v>52550</v>
      </c>
      <c r="E180" s="27">
        <f t="shared" si="19"/>
        <v>1576500</v>
      </c>
      <c r="F180" s="27">
        <v>511000</v>
      </c>
      <c r="G180" s="27">
        <f>+E180-F180</f>
        <v>1065500</v>
      </c>
      <c r="H180" s="29"/>
    </row>
    <row r="181" spans="2:11" hidden="1" x14ac:dyDescent="0.25">
      <c r="B181">
        <v>2034</v>
      </c>
      <c r="C181">
        <v>9</v>
      </c>
      <c r="D181" s="42">
        <f t="shared" si="21"/>
        <v>52550</v>
      </c>
      <c r="E181" s="27">
        <f t="shared" si="19"/>
        <v>1576500</v>
      </c>
      <c r="F181" s="27"/>
      <c r="G181" s="27">
        <f>+E181-F181</f>
        <v>1576500</v>
      </c>
      <c r="H181" s="29"/>
    </row>
    <row r="182" spans="2:11" hidden="1" x14ac:dyDescent="0.25">
      <c r="B182">
        <v>2035</v>
      </c>
      <c r="C182">
        <v>10</v>
      </c>
      <c r="D182" s="42">
        <f t="shared" si="21"/>
        <v>52550</v>
      </c>
      <c r="E182" s="27">
        <f t="shared" si="19"/>
        <v>1576500</v>
      </c>
      <c r="F182" s="27">
        <v>-1250000</v>
      </c>
      <c r="G182" s="27">
        <f>+E182-F182</f>
        <v>2826500</v>
      </c>
      <c r="H182" s="29"/>
    </row>
    <row r="183" spans="2:11" hidden="1" x14ac:dyDescent="0.25"/>
    <row r="184" spans="2:11" hidden="1" x14ac:dyDescent="0.25"/>
    <row r="185" spans="2:11" hidden="1" x14ac:dyDescent="0.25">
      <c r="B185" s="274" t="s">
        <v>87</v>
      </c>
      <c r="C185" s="275"/>
      <c r="D185" s="275"/>
      <c r="E185" s="275"/>
      <c r="F185" s="275"/>
      <c r="G185" s="276"/>
    </row>
    <row r="186" spans="2:11" ht="30" hidden="1" x14ac:dyDescent="0.25">
      <c r="B186" s="272" t="s">
        <v>65</v>
      </c>
      <c r="C186" s="65"/>
      <c r="D186" s="272" t="s">
        <v>64</v>
      </c>
      <c r="E186" s="65" t="s">
        <v>74</v>
      </c>
      <c r="F186" s="272" t="s">
        <v>69</v>
      </c>
      <c r="G186" s="270" t="s">
        <v>67</v>
      </c>
      <c r="H186" s="65"/>
      <c r="I186" s="65"/>
      <c r="J186" s="65"/>
      <c r="K186" s="65"/>
    </row>
    <row r="187" spans="2:11" hidden="1" x14ac:dyDescent="0.25">
      <c r="B187" s="272"/>
      <c r="D187" s="272"/>
      <c r="E187" s="66">
        <v>30</v>
      </c>
      <c r="F187" s="272"/>
      <c r="G187" s="270"/>
      <c r="H187" s="56"/>
      <c r="I187" s="57"/>
      <c r="J187" s="57"/>
      <c r="K187" s="57"/>
    </row>
    <row r="188" spans="2:11" hidden="1" x14ac:dyDescent="0.25">
      <c r="B188">
        <v>2020</v>
      </c>
      <c r="C188" s="24"/>
      <c r="D188" s="42"/>
      <c r="E188" s="42"/>
      <c r="F188" s="49">
        <f>SUM(F189:F203)</f>
        <v>6761000</v>
      </c>
      <c r="G188" s="156">
        <f>SUM(G189:G203)</f>
        <v>7569250</v>
      </c>
      <c r="H188" s="29"/>
      <c r="I188" s="25"/>
      <c r="J188" s="25"/>
      <c r="K188" s="25"/>
    </row>
    <row r="189" spans="2:11" hidden="1" x14ac:dyDescent="0.25">
      <c r="B189">
        <v>2021</v>
      </c>
      <c r="D189" s="42"/>
      <c r="E189" s="67"/>
      <c r="F189" s="68"/>
      <c r="G189" s="69"/>
      <c r="H189" s="29"/>
      <c r="I189" s="48"/>
      <c r="J189" s="48"/>
      <c r="K189" s="48"/>
    </row>
    <row r="190" spans="2:11" hidden="1" x14ac:dyDescent="0.25">
      <c r="B190">
        <v>2022</v>
      </c>
      <c r="D190" s="42"/>
      <c r="E190" s="27"/>
      <c r="F190" s="27"/>
      <c r="G190" s="27"/>
      <c r="H190" s="29"/>
    </row>
    <row r="191" spans="2:11" hidden="1" x14ac:dyDescent="0.25">
      <c r="B191">
        <v>2023</v>
      </c>
      <c r="D191" s="42"/>
      <c r="E191" s="27"/>
      <c r="F191" s="27"/>
      <c r="G191" s="27"/>
      <c r="H191" s="29"/>
    </row>
    <row r="192" spans="2:11" hidden="1" x14ac:dyDescent="0.25">
      <c r="B192">
        <v>2024</v>
      </c>
      <c r="D192" s="42"/>
      <c r="E192" s="27"/>
      <c r="F192" s="27"/>
      <c r="G192" s="27"/>
      <c r="H192" s="29"/>
    </row>
    <row r="193" spans="2:11" hidden="1" x14ac:dyDescent="0.25">
      <c r="B193">
        <v>2025</v>
      </c>
      <c r="D193" s="42"/>
      <c r="E193" s="27"/>
      <c r="F193" s="27"/>
      <c r="G193" s="27"/>
      <c r="H193" s="29"/>
    </row>
    <row r="194" spans="2:11" hidden="1" x14ac:dyDescent="0.25">
      <c r="B194">
        <v>2026</v>
      </c>
      <c r="D194" s="42"/>
      <c r="E194" s="27"/>
      <c r="F194" s="27"/>
      <c r="G194" s="27"/>
      <c r="H194" s="29"/>
    </row>
    <row r="195" spans="2:11" hidden="1" x14ac:dyDescent="0.25">
      <c r="B195">
        <v>2027</v>
      </c>
      <c r="C195">
        <v>1</v>
      </c>
      <c r="D195" s="42">
        <f>+H41</f>
        <v>53075</v>
      </c>
      <c r="E195" s="27">
        <f t="shared" ref="E195:E203" si="22">+D195*$I$34</f>
        <v>1592250</v>
      </c>
      <c r="F195" s="27">
        <v>1250000</v>
      </c>
      <c r="G195" s="27">
        <f t="shared" ref="G195:G200" si="23">+E195-F195</f>
        <v>342250</v>
      </c>
      <c r="H195" s="29"/>
    </row>
    <row r="196" spans="2:11" hidden="1" x14ac:dyDescent="0.25">
      <c r="B196">
        <v>2028</v>
      </c>
      <c r="C196">
        <v>2</v>
      </c>
      <c r="D196" s="42">
        <f t="shared" ref="D196:D203" si="24">+D195</f>
        <v>53075</v>
      </c>
      <c r="E196" s="27">
        <f t="shared" si="22"/>
        <v>1592250</v>
      </c>
      <c r="F196" s="27">
        <v>1250000</v>
      </c>
      <c r="G196" s="27">
        <f t="shared" si="23"/>
        <v>342250</v>
      </c>
      <c r="H196" s="29"/>
    </row>
    <row r="197" spans="2:11" hidden="1" x14ac:dyDescent="0.25">
      <c r="B197">
        <v>2029</v>
      </c>
      <c r="C197">
        <v>3</v>
      </c>
      <c r="D197" s="42">
        <f t="shared" si="24"/>
        <v>53075</v>
      </c>
      <c r="E197" s="27">
        <f t="shared" si="22"/>
        <v>1592250</v>
      </c>
      <c r="F197" s="27">
        <v>1250000</v>
      </c>
      <c r="G197" s="27">
        <f t="shared" si="23"/>
        <v>342250</v>
      </c>
      <c r="H197" s="29"/>
    </row>
    <row r="198" spans="2:11" hidden="1" x14ac:dyDescent="0.25">
      <c r="B198">
        <v>2030</v>
      </c>
      <c r="C198">
        <v>4</v>
      </c>
      <c r="D198" s="42">
        <f t="shared" si="24"/>
        <v>53075</v>
      </c>
      <c r="E198" s="27">
        <f t="shared" si="22"/>
        <v>1592250</v>
      </c>
      <c r="F198" s="27">
        <v>1250000</v>
      </c>
      <c r="G198" s="27">
        <f t="shared" si="23"/>
        <v>342250</v>
      </c>
      <c r="H198" s="29"/>
    </row>
    <row r="199" spans="2:11" hidden="1" x14ac:dyDescent="0.25">
      <c r="B199">
        <v>2031</v>
      </c>
      <c r="C199">
        <v>5</v>
      </c>
      <c r="D199" s="42">
        <f t="shared" si="24"/>
        <v>53075</v>
      </c>
      <c r="E199" s="27">
        <f t="shared" si="22"/>
        <v>1592250</v>
      </c>
      <c r="F199" s="27">
        <v>1250000</v>
      </c>
      <c r="G199" s="27">
        <f t="shared" si="23"/>
        <v>342250</v>
      </c>
      <c r="H199" s="29"/>
    </row>
    <row r="200" spans="2:11" hidden="1" x14ac:dyDescent="0.25">
      <c r="B200">
        <v>2032</v>
      </c>
      <c r="C200">
        <v>6</v>
      </c>
      <c r="D200" s="42">
        <f t="shared" si="24"/>
        <v>53075</v>
      </c>
      <c r="E200" s="27">
        <f t="shared" si="22"/>
        <v>1592250</v>
      </c>
      <c r="F200" s="27">
        <v>1250000</v>
      </c>
      <c r="G200" s="27">
        <f t="shared" si="23"/>
        <v>342250</v>
      </c>
      <c r="H200" s="29"/>
    </row>
    <row r="201" spans="2:11" hidden="1" x14ac:dyDescent="0.25">
      <c r="B201">
        <v>2033</v>
      </c>
      <c r="C201">
        <v>7</v>
      </c>
      <c r="D201" s="42">
        <f t="shared" si="24"/>
        <v>53075</v>
      </c>
      <c r="E201" s="27">
        <f t="shared" si="22"/>
        <v>1592250</v>
      </c>
      <c r="F201" s="27">
        <v>511000</v>
      </c>
      <c r="G201" s="27">
        <f>+E201-F201</f>
        <v>1081250</v>
      </c>
      <c r="H201" s="29"/>
    </row>
    <row r="202" spans="2:11" hidden="1" x14ac:dyDescent="0.25">
      <c r="B202">
        <v>2034</v>
      </c>
      <c r="C202">
        <v>8</v>
      </c>
      <c r="D202" s="42">
        <f t="shared" si="24"/>
        <v>53075</v>
      </c>
      <c r="E202" s="27">
        <f t="shared" si="22"/>
        <v>1592250</v>
      </c>
      <c r="F202" s="27"/>
      <c r="G202" s="27">
        <f>+E202-F202</f>
        <v>1592250</v>
      </c>
      <c r="H202" s="29"/>
    </row>
    <row r="203" spans="2:11" hidden="1" x14ac:dyDescent="0.25">
      <c r="B203">
        <v>2035</v>
      </c>
      <c r="C203">
        <v>9</v>
      </c>
      <c r="D203" s="42">
        <f t="shared" si="24"/>
        <v>53075</v>
      </c>
      <c r="E203" s="27">
        <f t="shared" si="22"/>
        <v>1592250</v>
      </c>
      <c r="F203" s="27">
        <v>-1250000</v>
      </c>
      <c r="G203" s="27">
        <f>+E203-F203</f>
        <v>2842250</v>
      </c>
      <c r="H203" s="29"/>
    </row>
    <row r="204" spans="2:11" hidden="1" x14ac:dyDescent="0.25"/>
    <row r="205" spans="2:11" hidden="1" x14ac:dyDescent="0.25"/>
    <row r="206" spans="2:11" hidden="1" x14ac:dyDescent="0.25">
      <c r="B206" s="274" t="s">
        <v>88</v>
      </c>
      <c r="C206" s="275"/>
      <c r="D206" s="275"/>
      <c r="E206" s="275"/>
      <c r="F206" s="275"/>
      <c r="G206" s="276"/>
    </row>
    <row r="207" spans="2:11" ht="30" hidden="1" x14ac:dyDescent="0.25">
      <c r="B207" s="272" t="s">
        <v>65</v>
      </c>
      <c r="C207" s="65"/>
      <c r="D207" s="272" t="s">
        <v>64</v>
      </c>
      <c r="E207" s="65" t="s">
        <v>74</v>
      </c>
      <c r="F207" s="272" t="s">
        <v>69</v>
      </c>
      <c r="G207" s="270" t="s">
        <v>67</v>
      </c>
      <c r="H207" s="65"/>
      <c r="I207" s="65"/>
      <c r="J207" s="65"/>
      <c r="K207" s="65"/>
    </row>
    <row r="208" spans="2:11" hidden="1" x14ac:dyDescent="0.25">
      <c r="B208" s="272"/>
      <c r="D208" s="272"/>
      <c r="E208" s="66">
        <v>30</v>
      </c>
      <c r="F208" s="272"/>
      <c r="G208" s="270"/>
      <c r="H208" s="56"/>
      <c r="I208" s="57"/>
      <c r="J208" s="57"/>
      <c r="K208" s="57"/>
    </row>
    <row r="209" spans="2:11" hidden="1" x14ac:dyDescent="0.25">
      <c r="B209">
        <v>2020</v>
      </c>
      <c r="C209" s="24"/>
      <c r="D209" s="42"/>
      <c r="E209" s="42"/>
      <c r="F209" s="49">
        <f>SUM(F210:F224)</f>
        <v>5511000</v>
      </c>
      <c r="G209" s="156">
        <f>SUM(G210:G224)</f>
        <v>7354200</v>
      </c>
      <c r="H209" s="29"/>
      <c r="I209" s="25"/>
      <c r="J209" s="25"/>
      <c r="K209" s="25"/>
    </row>
    <row r="210" spans="2:11" hidden="1" x14ac:dyDescent="0.25">
      <c r="B210">
        <v>2021</v>
      </c>
      <c r="D210" s="42"/>
      <c r="E210" s="67"/>
      <c r="F210" s="68"/>
      <c r="G210" s="69"/>
      <c r="H210" s="29"/>
      <c r="I210" s="48"/>
      <c r="J210" s="48"/>
      <c r="K210" s="48"/>
    </row>
    <row r="211" spans="2:11" hidden="1" x14ac:dyDescent="0.25">
      <c r="B211">
        <v>2022</v>
      </c>
      <c r="D211" s="42"/>
      <c r="E211" s="27"/>
      <c r="F211" s="27"/>
      <c r="G211" s="27"/>
      <c r="H211" s="29"/>
    </row>
    <row r="212" spans="2:11" hidden="1" x14ac:dyDescent="0.25">
      <c r="B212">
        <v>2023</v>
      </c>
      <c r="D212" s="42"/>
      <c r="E212" s="27"/>
      <c r="F212" s="27"/>
      <c r="G212" s="27"/>
      <c r="H212" s="29"/>
    </row>
    <row r="213" spans="2:11" hidden="1" x14ac:dyDescent="0.25">
      <c r="B213">
        <v>2024</v>
      </c>
      <c r="D213" s="42"/>
      <c r="E213" s="27"/>
      <c r="F213" s="27"/>
      <c r="G213" s="27"/>
      <c r="H213" s="29"/>
    </row>
    <row r="214" spans="2:11" hidden="1" x14ac:dyDescent="0.25">
      <c r="B214">
        <v>2025</v>
      </c>
      <c r="D214" s="42"/>
      <c r="E214" s="27"/>
      <c r="F214" s="27"/>
      <c r="G214" s="27"/>
      <c r="H214" s="29"/>
    </row>
    <row r="215" spans="2:11" hidden="1" x14ac:dyDescent="0.25">
      <c r="B215">
        <v>2026</v>
      </c>
      <c r="D215" s="42"/>
      <c r="E215" s="27"/>
      <c r="F215" s="27"/>
      <c r="G215" s="27"/>
      <c r="H215" s="29"/>
    </row>
    <row r="216" spans="2:11" hidden="1" x14ac:dyDescent="0.25">
      <c r="B216">
        <v>2027</v>
      </c>
      <c r="D216" s="42"/>
      <c r="E216" s="27"/>
      <c r="F216" s="27"/>
      <c r="G216" s="27"/>
      <c r="H216" s="29"/>
    </row>
    <row r="217" spans="2:11" hidden="1" x14ac:dyDescent="0.25">
      <c r="B217">
        <v>2028</v>
      </c>
      <c r="C217">
        <v>1</v>
      </c>
      <c r="D217" s="42">
        <f>+H42</f>
        <v>53605</v>
      </c>
      <c r="E217" s="27">
        <f t="shared" ref="E217:E224" si="25">+D217*$I$34</f>
        <v>1608150</v>
      </c>
      <c r="F217" s="27">
        <v>1250000</v>
      </c>
      <c r="G217" s="27">
        <f t="shared" ref="G217:G224" si="26">+E217-F217</f>
        <v>358150</v>
      </c>
      <c r="H217" s="29"/>
    </row>
    <row r="218" spans="2:11" hidden="1" x14ac:dyDescent="0.25">
      <c r="B218">
        <v>2029</v>
      </c>
      <c r="C218">
        <v>2</v>
      </c>
      <c r="D218" s="42">
        <f t="shared" ref="D218:D224" si="27">+D217</f>
        <v>53605</v>
      </c>
      <c r="E218" s="27">
        <f t="shared" si="25"/>
        <v>1608150</v>
      </c>
      <c r="F218" s="27">
        <v>1250000</v>
      </c>
      <c r="G218" s="27">
        <f t="shared" si="26"/>
        <v>358150</v>
      </c>
      <c r="H218" s="29"/>
    </row>
    <row r="219" spans="2:11" hidden="1" x14ac:dyDescent="0.25">
      <c r="B219">
        <v>2030</v>
      </c>
      <c r="C219">
        <v>3</v>
      </c>
      <c r="D219" s="42">
        <f t="shared" si="27"/>
        <v>53605</v>
      </c>
      <c r="E219" s="27">
        <f t="shared" si="25"/>
        <v>1608150</v>
      </c>
      <c r="F219" s="27">
        <v>1250000</v>
      </c>
      <c r="G219" s="27">
        <f t="shared" si="26"/>
        <v>358150</v>
      </c>
      <c r="H219" s="29"/>
    </row>
    <row r="220" spans="2:11" hidden="1" x14ac:dyDescent="0.25">
      <c r="B220">
        <v>2031</v>
      </c>
      <c r="C220">
        <v>4</v>
      </c>
      <c r="D220" s="42">
        <f t="shared" si="27"/>
        <v>53605</v>
      </c>
      <c r="E220" s="27">
        <f t="shared" si="25"/>
        <v>1608150</v>
      </c>
      <c r="F220" s="27">
        <v>1250000</v>
      </c>
      <c r="G220" s="27">
        <f t="shared" si="26"/>
        <v>358150</v>
      </c>
      <c r="H220" s="29"/>
    </row>
    <row r="221" spans="2:11" hidden="1" x14ac:dyDescent="0.25">
      <c r="B221">
        <v>2032</v>
      </c>
      <c r="C221">
        <v>5</v>
      </c>
      <c r="D221" s="42">
        <f t="shared" si="27"/>
        <v>53605</v>
      </c>
      <c r="E221" s="27">
        <f t="shared" si="25"/>
        <v>1608150</v>
      </c>
      <c r="F221" s="27">
        <v>1250000</v>
      </c>
      <c r="G221" s="27">
        <f t="shared" si="26"/>
        <v>358150</v>
      </c>
      <c r="H221" s="29"/>
    </row>
    <row r="222" spans="2:11" hidden="1" x14ac:dyDescent="0.25">
      <c r="B222">
        <v>2033</v>
      </c>
      <c r="C222">
        <v>6</v>
      </c>
      <c r="D222" s="42">
        <f t="shared" si="27"/>
        <v>53605</v>
      </c>
      <c r="E222" s="27">
        <f t="shared" si="25"/>
        <v>1608150</v>
      </c>
      <c r="F222" s="27">
        <v>511000</v>
      </c>
      <c r="G222" s="27">
        <f t="shared" si="26"/>
        <v>1097150</v>
      </c>
      <c r="H222" s="29"/>
    </row>
    <row r="223" spans="2:11" hidden="1" x14ac:dyDescent="0.25">
      <c r="B223">
        <v>2034</v>
      </c>
      <c r="C223">
        <v>7</v>
      </c>
      <c r="D223" s="42">
        <f t="shared" si="27"/>
        <v>53605</v>
      </c>
      <c r="E223" s="27">
        <f t="shared" si="25"/>
        <v>1608150</v>
      </c>
      <c r="F223" s="27"/>
      <c r="G223" s="27">
        <f t="shared" si="26"/>
        <v>1608150</v>
      </c>
      <c r="H223" s="29"/>
    </row>
    <row r="224" spans="2:11" hidden="1" x14ac:dyDescent="0.25">
      <c r="B224">
        <v>2035</v>
      </c>
      <c r="C224">
        <v>8</v>
      </c>
      <c r="D224" s="42">
        <f t="shared" si="27"/>
        <v>53605</v>
      </c>
      <c r="E224" s="27">
        <f t="shared" si="25"/>
        <v>1608150</v>
      </c>
      <c r="F224" s="27">
        <v>-1250000</v>
      </c>
      <c r="G224" s="27">
        <f t="shared" si="26"/>
        <v>2858150</v>
      </c>
      <c r="H224" s="29"/>
    </row>
    <row r="225" spans="2:11" hidden="1" x14ac:dyDescent="0.25"/>
    <row r="226" spans="2:11" hidden="1" x14ac:dyDescent="0.25"/>
    <row r="227" spans="2:11" hidden="1" x14ac:dyDescent="0.25">
      <c r="B227" s="274" t="s">
        <v>89</v>
      </c>
      <c r="C227" s="275"/>
      <c r="D227" s="275"/>
      <c r="E227" s="275"/>
      <c r="F227" s="275"/>
      <c r="G227" s="276"/>
    </row>
    <row r="228" spans="2:11" ht="30" hidden="1" x14ac:dyDescent="0.25">
      <c r="B228" s="272" t="s">
        <v>65</v>
      </c>
      <c r="C228" s="65"/>
      <c r="D228" s="272" t="s">
        <v>64</v>
      </c>
      <c r="E228" s="65" t="s">
        <v>74</v>
      </c>
      <c r="F228" s="272" t="s">
        <v>69</v>
      </c>
      <c r="G228" s="270" t="s">
        <v>67</v>
      </c>
      <c r="H228" s="65"/>
      <c r="I228" s="65"/>
      <c r="J228" s="65"/>
      <c r="K228" s="65"/>
    </row>
    <row r="229" spans="2:11" hidden="1" x14ac:dyDescent="0.25">
      <c r="B229" s="272"/>
      <c r="D229" s="272"/>
      <c r="E229" s="66">
        <v>30</v>
      </c>
      <c r="F229" s="272"/>
      <c r="G229" s="270"/>
      <c r="H229" s="56"/>
      <c r="I229" s="57"/>
      <c r="J229" s="57"/>
      <c r="K229" s="57"/>
    </row>
    <row r="230" spans="2:11" hidden="1" x14ac:dyDescent="0.25">
      <c r="B230">
        <v>2020</v>
      </c>
      <c r="C230" s="24"/>
      <c r="D230" s="42"/>
      <c r="E230" s="42"/>
      <c r="F230" s="49">
        <f>SUM(F231:F245)</f>
        <v>4261000</v>
      </c>
      <c r="G230" s="156">
        <f>SUM(G231:G245)</f>
        <v>7108610</v>
      </c>
      <c r="H230" s="29"/>
      <c r="I230" s="25"/>
      <c r="J230" s="25"/>
      <c r="K230" s="25"/>
    </row>
    <row r="231" spans="2:11" hidden="1" x14ac:dyDescent="0.25">
      <c r="B231">
        <v>2021</v>
      </c>
      <c r="D231" s="42"/>
      <c r="E231" s="67"/>
      <c r="F231" s="68"/>
      <c r="G231" s="69"/>
      <c r="H231" s="29"/>
      <c r="I231" s="48"/>
      <c r="J231" s="48"/>
      <c r="K231" s="48"/>
    </row>
    <row r="232" spans="2:11" hidden="1" x14ac:dyDescent="0.25">
      <c r="B232">
        <v>2022</v>
      </c>
      <c r="D232" s="42"/>
      <c r="E232" s="27"/>
      <c r="F232" s="27"/>
      <c r="G232" s="27"/>
      <c r="H232" s="29"/>
    </row>
    <row r="233" spans="2:11" hidden="1" x14ac:dyDescent="0.25">
      <c r="B233">
        <v>2023</v>
      </c>
      <c r="D233" s="42"/>
      <c r="E233" s="27"/>
      <c r="F233" s="27"/>
      <c r="G233" s="27"/>
      <c r="H233" s="29"/>
    </row>
    <row r="234" spans="2:11" hidden="1" x14ac:dyDescent="0.25">
      <c r="B234">
        <v>2024</v>
      </c>
      <c r="D234" s="42"/>
      <c r="E234" s="27"/>
      <c r="F234" s="27"/>
      <c r="G234" s="27"/>
      <c r="H234" s="29"/>
    </row>
    <row r="235" spans="2:11" hidden="1" x14ac:dyDescent="0.25">
      <c r="B235">
        <v>2025</v>
      </c>
      <c r="D235" s="42"/>
      <c r="E235" s="27"/>
      <c r="F235" s="27"/>
      <c r="G235" s="27"/>
      <c r="H235" s="29"/>
    </row>
    <row r="236" spans="2:11" hidden="1" x14ac:dyDescent="0.25">
      <c r="B236">
        <v>2026</v>
      </c>
      <c r="D236" s="42"/>
      <c r="E236" s="27"/>
      <c r="F236" s="27"/>
      <c r="G236" s="27"/>
      <c r="H236" s="29"/>
    </row>
    <row r="237" spans="2:11" hidden="1" x14ac:dyDescent="0.25">
      <c r="B237">
        <v>2027</v>
      </c>
      <c r="D237" s="42"/>
      <c r="E237" s="27"/>
      <c r="F237" s="27"/>
      <c r="G237" s="27"/>
      <c r="H237" s="29"/>
    </row>
    <row r="238" spans="2:11" hidden="1" x14ac:dyDescent="0.25">
      <c r="B238">
        <v>2028</v>
      </c>
      <c r="D238" s="42"/>
      <c r="E238" s="27"/>
      <c r="F238" s="27"/>
      <c r="G238" s="27"/>
      <c r="H238" s="29"/>
    </row>
    <row r="239" spans="2:11" hidden="1" x14ac:dyDescent="0.25">
      <c r="B239">
        <v>2029</v>
      </c>
      <c r="C239">
        <v>1</v>
      </c>
      <c r="D239" s="42">
        <f>+H43</f>
        <v>54141</v>
      </c>
      <c r="E239" s="27">
        <f t="shared" ref="E239:E245" si="28">+D239*$I$34</f>
        <v>1624230</v>
      </c>
      <c r="F239" s="27">
        <v>1250000</v>
      </c>
      <c r="G239" s="27">
        <f t="shared" ref="G239:G245" si="29">+E239-F239</f>
        <v>374230</v>
      </c>
      <c r="H239" s="29"/>
    </row>
    <row r="240" spans="2:11" hidden="1" x14ac:dyDescent="0.25">
      <c r="B240">
        <v>2030</v>
      </c>
      <c r="C240">
        <v>2</v>
      </c>
      <c r="D240" s="42">
        <f t="shared" ref="D240:D245" si="30">+D239</f>
        <v>54141</v>
      </c>
      <c r="E240" s="27">
        <f t="shared" si="28"/>
        <v>1624230</v>
      </c>
      <c r="F240" s="27">
        <v>1250000</v>
      </c>
      <c r="G240" s="27">
        <f t="shared" si="29"/>
        <v>374230</v>
      </c>
      <c r="H240" s="29"/>
    </row>
    <row r="241" spans="2:11" hidden="1" x14ac:dyDescent="0.25">
      <c r="B241">
        <v>2031</v>
      </c>
      <c r="C241">
        <v>3</v>
      </c>
      <c r="D241" s="42">
        <f t="shared" si="30"/>
        <v>54141</v>
      </c>
      <c r="E241" s="27">
        <f t="shared" si="28"/>
        <v>1624230</v>
      </c>
      <c r="F241" s="27">
        <v>1250000</v>
      </c>
      <c r="G241" s="27">
        <f t="shared" si="29"/>
        <v>374230</v>
      </c>
      <c r="H241" s="29"/>
    </row>
    <row r="242" spans="2:11" hidden="1" x14ac:dyDescent="0.25">
      <c r="B242">
        <v>2032</v>
      </c>
      <c r="C242">
        <v>4</v>
      </c>
      <c r="D242" s="42">
        <f t="shared" si="30"/>
        <v>54141</v>
      </c>
      <c r="E242" s="27">
        <f t="shared" si="28"/>
        <v>1624230</v>
      </c>
      <c r="F242" s="27">
        <v>1250000</v>
      </c>
      <c r="G242" s="27">
        <f t="shared" si="29"/>
        <v>374230</v>
      </c>
      <c r="H242" s="29"/>
    </row>
    <row r="243" spans="2:11" hidden="1" x14ac:dyDescent="0.25">
      <c r="B243">
        <v>2033</v>
      </c>
      <c r="C243">
        <v>5</v>
      </c>
      <c r="D243" s="42">
        <f t="shared" si="30"/>
        <v>54141</v>
      </c>
      <c r="E243" s="27">
        <f t="shared" si="28"/>
        <v>1624230</v>
      </c>
      <c r="F243" s="27">
        <v>511000</v>
      </c>
      <c r="G243" s="27">
        <f t="shared" si="29"/>
        <v>1113230</v>
      </c>
      <c r="H243" s="29"/>
    </row>
    <row r="244" spans="2:11" hidden="1" x14ac:dyDescent="0.25">
      <c r="B244">
        <v>2034</v>
      </c>
      <c r="C244">
        <v>6</v>
      </c>
      <c r="D244" s="42">
        <f t="shared" si="30"/>
        <v>54141</v>
      </c>
      <c r="E244" s="27">
        <f t="shared" si="28"/>
        <v>1624230</v>
      </c>
      <c r="F244" s="27"/>
      <c r="G244" s="27">
        <f t="shared" si="29"/>
        <v>1624230</v>
      </c>
      <c r="H244" s="29"/>
    </row>
    <row r="245" spans="2:11" hidden="1" x14ac:dyDescent="0.25">
      <c r="B245">
        <v>2035</v>
      </c>
      <c r="C245">
        <v>7</v>
      </c>
      <c r="D245" s="42">
        <f t="shared" si="30"/>
        <v>54141</v>
      </c>
      <c r="E245" s="27">
        <f t="shared" si="28"/>
        <v>1624230</v>
      </c>
      <c r="F245" s="27">
        <v>-1250000</v>
      </c>
      <c r="G245" s="27">
        <f t="shared" si="29"/>
        <v>2874230</v>
      </c>
      <c r="H245" s="29"/>
    </row>
    <row r="246" spans="2:11" hidden="1" x14ac:dyDescent="0.25"/>
    <row r="247" spans="2:11" hidden="1" x14ac:dyDescent="0.25"/>
    <row r="248" spans="2:11" hidden="1" x14ac:dyDescent="0.25">
      <c r="B248" s="274" t="s">
        <v>90</v>
      </c>
      <c r="C248" s="275"/>
      <c r="D248" s="275"/>
      <c r="E248" s="275"/>
      <c r="F248" s="275"/>
      <c r="G248" s="276"/>
    </row>
    <row r="249" spans="2:11" ht="30" hidden="1" x14ac:dyDescent="0.25">
      <c r="B249" s="272" t="s">
        <v>65</v>
      </c>
      <c r="C249" s="65"/>
      <c r="D249" s="272" t="s">
        <v>64</v>
      </c>
      <c r="E249" s="65" t="s">
        <v>74</v>
      </c>
      <c r="F249" s="272" t="s">
        <v>69</v>
      </c>
      <c r="G249" s="270" t="s">
        <v>67</v>
      </c>
      <c r="H249" s="65"/>
      <c r="I249" s="65"/>
      <c r="J249" s="65"/>
      <c r="K249" s="65"/>
    </row>
    <row r="250" spans="2:11" hidden="1" x14ac:dyDescent="0.25">
      <c r="B250" s="272"/>
      <c r="D250" s="272"/>
      <c r="E250" s="66">
        <v>30</v>
      </c>
      <c r="F250" s="272"/>
      <c r="G250" s="270"/>
      <c r="H250" s="56"/>
      <c r="I250" s="57"/>
      <c r="J250" s="57"/>
      <c r="K250" s="57"/>
    </row>
    <row r="251" spans="2:11" hidden="1" x14ac:dyDescent="0.25">
      <c r="B251">
        <v>2020</v>
      </c>
      <c r="C251" s="24"/>
      <c r="D251" s="42"/>
      <c r="E251" s="42"/>
      <c r="F251" s="49">
        <f>SUM(F252:F266)</f>
        <v>3011000</v>
      </c>
      <c r="G251" s="156">
        <f>SUM(G252:G266)</f>
        <v>6831760</v>
      </c>
      <c r="H251" s="29"/>
      <c r="I251" s="25"/>
      <c r="J251" s="25"/>
      <c r="K251" s="25"/>
    </row>
    <row r="252" spans="2:11" hidden="1" x14ac:dyDescent="0.25">
      <c r="B252">
        <v>2021</v>
      </c>
      <c r="D252" s="42"/>
      <c r="E252" s="67"/>
      <c r="F252" s="68"/>
      <c r="G252" s="69"/>
      <c r="H252" s="29"/>
      <c r="I252" s="48"/>
      <c r="J252" s="48"/>
      <c r="K252" s="48"/>
    </row>
    <row r="253" spans="2:11" hidden="1" x14ac:dyDescent="0.25">
      <c r="B253">
        <v>2022</v>
      </c>
      <c r="D253" s="42"/>
      <c r="E253" s="27"/>
      <c r="F253" s="27"/>
      <c r="G253" s="27"/>
      <c r="H253" s="29"/>
    </row>
    <row r="254" spans="2:11" hidden="1" x14ac:dyDescent="0.25">
      <c r="B254">
        <v>2023</v>
      </c>
      <c r="D254" s="42"/>
      <c r="E254" s="27"/>
      <c r="F254" s="27"/>
      <c r="G254" s="27"/>
      <c r="H254" s="29"/>
    </row>
    <row r="255" spans="2:11" hidden="1" x14ac:dyDescent="0.25">
      <c r="B255">
        <v>2024</v>
      </c>
      <c r="D255" s="42"/>
      <c r="E255" s="27"/>
      <c r="F255" s="27"/>
      <c r="G255" s="27"/>
      <c r="H255" s="29"/>
    </row>
    <row r="256" spans="2:11" hidden="1" x14ac:dyDescent="0.25">
      <c r="B256">
        <v>2025</v>
      </c>
      <c r="D256" s="42"/>
      <c r="E256" s="27"/>
      <c r="F256" s="27"/>
      <c r="G256" s="27"/>
      <c r="H256" s="29"/>
    </row>
    <row r="257" spans="2:11" hidden="1" x14ac:dyDescent="0.25">
      <c r="B257">
        <v>2026</v>
      </c>
      <c r="D257" s="42"/>
      <c r="E257" s="27"/>
      <c r="F257" s="27"/>
      <c r="G257" s="27"/>
      <c r="H257" s="29"/>
    </row>
    <row r="258" spans="2:11" hidden="1" x14ac:dyDescent="0.25">
      <c r="B258">
        <v>2027</v>
      </c>
      <c r="D258" s="42"/>
      <c r="E258" s="27"/>
      <c r="F258" s="27"/>
      <c r="G258" s="27"/>
      <c r="H258" s="29"/>
    </row>
    <row r="259" spans="2:11" hidden="1" x14ac:dyDescent="0.25">
      <c r="B259">
        <v>2028</v>
      </c>
      <c r="D259" s="42"/>
      <c r="E259" s="27"/>
      <c r="F259" s="27"/>
      <c r="G259" s="27"/>
      <c r="H259" s="29"/>
    </row>
    <row r="260" spans="2:11" hidden="1" x14ac:dyDescent="0.25">
      <c r="B260">
        <v>2029</v>
      </c>
      <c r="D260" s="42"/>
      <c r="E260" s="27"/>
      <c r="F260" s="27"/>
      <c r="G260" s="27"/>
      <c r="H260" s="29"/>
    </row>
    <row r="261" spans="2:11" hidden="1" x14ac:dyDescent="0.25">
      <c r="B261">
        <v>2030</v>
      </c>
      <c r="C261">
        <v>1</v>
      </c>
      <c r="D261" s="42">
        <f>+H44</f>
        <v>54682</v>
      </c>
      <c r="E261" s="27">
        <f t="shared" ref="E261:E266" si="31">+D261*$I$34</f>
        <v>1640460</v>
      </c>
      <c r="F261" s="27">
        <v>1250000</v>
      </c>
      <c r="G261" s="27">
        <f t="shared" ref="G261:G266" si="32">+E261-F261</f>
        <v>390460</v>
      </c>
      <c r="H261" s="29"/>
    </row>
    <row r="262" spans="2:11" hidden="1" x14ac:dyDescent="0.25">
      <c r="B262">
        <v>2031</v>
      </c>
      <c r="C262">
        <v>2</v>
      </c>
      <c r="D262" s="42">
        <f>+D261</f>
        <v>54682</v>
      </c>
      <c r="E262" s="27">
        <f t="shared" si="31"/>
        <v>1640460</v>
      </c>
      <c r="F262" s="27">
        <v>1250000</v>
      </c>
      <c r="G262" s="27">
        <f t="shared" si="32"/>
        <v>390460</v>
      </c>
      <c r="H262" s="29"/>
    </row>
    <row r="263" spans="2:11" hidden="1" x14ac:dyDescent="0.25">
      <c r="B263">
        <v>2032</v>
      </c>
      <c r="C263">
        <v>3</v>
      </c>
      <c r="D263" s="42">
        <f>+D262</f>
        <v>54682</v>
      </c>
      <c r="E263" s="27">
        <f t="shared" si="31"/>
        <v>1640460</v>
      </c>
      <c r="F263" s="27">
        <v>1250000</v>
      </c>
      <c r="G263" s="27">
        <f t="shared" si="32"/>
        <v>390460</v>
      </c>
      <c r="H263" s="29"/>
    </row>
    <row r="264" spans="2:11" hidden="1" x14ac:dyDescent="0.25">
      <c r="B264">
        <v>2033</v>
      </c>
      <c r="C264">
        <v>4</v>
      </c>
      <c r="D264" s="42">
        <f>+D263</f>
        <v>54682</v>
      </c>
      <c r="E264" s="27">
        <f t="shared" si="31"/>
        <v>1640460</v>
      </c>
      <c r="F264" s="27">
        <v>511000</v>
      </c>
      <c r="G264" s="27">
        <f t="shared" si="32"/>
        <v>1129460</v>
      </c>
      <c r="H264" s="29"/>
    </row>
    <row r="265" spans="2:11" hidden="1" x14ac:dyDescent="0.25">
      <c r="B265">
        <v>2034</v>
      </c>
      <c r="C265">
        <v>5</v>
      </c>
      <c r="D265" s="42">
        <f>+D264</f>
        <v>54682</v>
      </c>
      <c r="E265" s="27">
        <f t="shared" si="31"/>
        <v>1640460</v>
      </c>
      <c r="F265" s="27"/>
      <c r="G265" s="27">
        <f t="shared" si="32"/>
        <v>1640460</v>
      </c>
      <c r="H265" s="29"/>
    </row>
    <row r="266" spans="2:11" hidden="1" x14ac:dyDescent="0.25">
      <c r="B266">
        <v>2035</v>
      </c>
      <c r="C266">
        <v>6</v>
      </c>
      <c r="D266" s="42">
        <f>+D265</f>
        <v>54682</v>
      </c>
      <c r="E266" s="27">
        <f t="shared" si="31"/>
        <v>1640460</v>
      </c>
      <c r="F266" s="27">
        <v>-1250000</v>
      </c>
      <c r="G266" s="27">
        <f t="shared" si="32"/>
        <v>2890460</v>
      </c>
      <c r="H266" s="29"/>
    </row>
    <row r="267" spans="2:11" hidden="1" x14ac:dyDescent="0.25"/>
    <row r="268" spans="2:11" hidden="1" x14ac:dyDescent="0.25"/>
    <row r="269" spans="2:11" hidden="1" x14ac:dyDescent="0.25">
      <c r="B269" s="274" t="s">
        <v>91</v>
      </c>
      <c r="C269" s="275"/>
      <c r="D269" s="275"/>
      <c r="E269" s="275"/>
      <c r="F269" s="275"/>
      <c r="G269" s="276"/>
    </row>
    <row r="270" spans="2:11" ht="30" hidden="1" x14ac:dyDescent="0.25">
      <c r="B270" s="272" t="s">
        <v>65</v>
      </c>
      <c r="C270" s="65"/>
      <c r="D270" s="272" t="s">
        <v>64</v>
      </c>
      <c r="E270" s="65" t="s">
        <v>74</v>
      </c>
      <c r="F270" s="272" t="s">
        <v>69</v>
      </c>
      <c r="G270" s="270" t="s">
        <v>67</v>
      </c>
      <c r="H270" s="65"/>
      <c r="I270" s="65"/>
      <c r="J270" s="65"/>
      <c r="K270" s="65"/>
    </row>
    <row r="271" spans="2:11" hidden="1" x14ac:dyDescent="0.25">
      <c r="B271" s="272"/>
      <c r="D271" s="272"/>
      <c r="E271" s="66">
        <v>30</v>
      </c>
      <c r="F271" s="272"/>
      <c r="G271" s="270"/>
      <c r="H271" s="56"/>
      <c r="I271" s="57"/>
      <c r="J271" s="57"/>
      <c r="K271" s="57"/>
    </row>
    <row r="272" spans="2:11" hidden="1" x14ac:dyDescent="0.25">
      <c r="B272">
        <v>2020</v>
      </c>
      <c r="C272" s="24"/>
      <c r="D272" s="42"/>
      <c r="E272" s="42"/>
      <c r="F272" s="49">
        <f>SUM(F273:F287)</f>
        <v>1761000</v>
      </c>
      <c r="G272" s="156">
        <f>SUM(G273:G287)</f>
        <v>6523200</v>
      </c>
      <c r="H272" s="29"/>
      <c r="I272" s="25"/>
      <c r="J272" s="25"/>
      <c r="K272" s="25"/>
    </row>
    <row r="273" spans="2:11" hidden="1" x14ac:dyDescent="0.25">
      <c r="B273">
        <v>2021</v>
      </c>
      <c r="D273" s="42"/>
      <c r="E273" s="67"/>
      <c r="F273" s="68"/>
      <c r="G273" s="69"/>
      <c r="H273" s="29"/>
      <c r="I273" s="48"/>
      <c r="J273" s="48"/>
      <c r="K273" s="48"/>
    </row>
    <row r="274" spans="2:11" hidden="1" x14ac:dyDescent="0.25">
      <c r="B274">
        <v>2022</v>
      </c>
      <c r="D274" s="42"/>
      <c r="E274" s="27"/>
      <c r="F274" s="27"/>
      <c r="G274" s="27"/>
      <c r="H274" s="29"/>
    </row>
    <row r="275" spans="2:11" hidden="1" x14ac:dyDescent="0.25">
      <c r="B275">
        <v>2023</v>
      </c>
      <c r="D275" s="42"/>
      <c r="E275" s="27"/>
      <c r="F275" s="27"/>
      <c r="G275" s="27"/>
      <c r="H275" s="29"/>
    </row>
    <row r="276" spans="2:11" hidden="1" x14ac:dyDescent="0.25">
      <c r="B276">
        <v>2024</v>
      </c>
      <c r="D276" s="42"/>
      <c r="E276" s="27"/>
      <c r="F276" s="27"/>
      <c r="G276" s="27"/>
      <c r="H276" s="29"/>
    </row>
    <row r="277" spans="2:11" hidden="1" x14ac:dyDescent="0.25">
      <c r="B277">
        <v>2025</v>
      </c>
      <c r="D277" s="42"/>
      <c r="E277" s="27"/>
      <c r="F277" s="27"/>
      <c r="G277" s="27"/>
      <c r="H277" s="29"/>
    </row>
    <row r="278" spans="2:11" hidden="1" x14ac:dyDescent="0.25">
      <c r="B278">
        <v>2026</v>
      </c>
      <c r="D278" s="42"/>
      <c r="E278" s="27"/>
      <c r="F278" s="27"/>
      <c r="G278" s="27"/>
      <c r="H278" s="29"/>
    </row>
    <row r="279" spans="2:11" hidden="1" x14ac:dyDescent="0.25">
      <c r="B279">
        <v>2027</v>
      </c>
      <c r="D279" s="42"/>
      <c r="E279" s="27"/>
      <c r="F279" s="27"/>
      <c r="G279" s="27"/>
      <c r="H279" s="29"/>
    </row>
    <row r="280" spans="2:11" hidden="1" x14ac:dyDescent="0.25">
      <c r="B280">
        <v>2028</v>
      </c>
      <c r="D280" s="42"/>
      <c r="E280" s="27"/>
      <c r="F280" s="27"/>
      <c r="G280" s="27"/>
      <c r="H280" s="29"/>
    </row>
    <row r="281" spans="2:11" hidden="1" x14ac:dyDescent="0.25">
      <c r="B281">
        <v>2029</v>
      </c>
      <c r="D281" s="42"/>
      <c r="E281" s="27"/>
      <c r="F281" s="27"/>
      <c r="G281" s="27"/>
      <c r="H281" s="29"/>
    </row>
    <row r="282" spans="2:11" hidden="1" x14ac:dyDescent="0.25">
      <c r="B282">
        <v>2030</v>
      </c>
      <c r="D282" s="42"/>
      <c r="E282" s="27"/>
      <c r="F282" s="27"/>
      <c r="G282" s="27"/>
      <c r="H282" s="29"/>
    </row>
    <row r="283" spans="2:11" hidden="1" x14ac:dyDescent="0.25">
      <c r="B283">
        <v>2031</v>
      </c>
      <c r="C283">
        <v>1</v>
      </c>
      <c r="D283" s="42">
        <f>+H45</f>
        <v>55228</v>
      </c>
      <c r="E283" s="27">
        <f>+D283*$I$34</f>
        <v>1656840</v>
      </c>
      <c r="F283" s="27">
        <v>1250000</v>
      </c>
      <c r="G283" s="27">
        <f>+E283-F283</f>
        <v>406840</v>
      </c>
      <c r="H283" s="29"/>
    </row>
    <row r="284" spans="2:11" hidden="1" x14ac:dyDescent="0.25">
      <c r="B284">
        <v>2032</v>
      </c>
      <c r="C284">
        <v>2</v>
      </c>
      <c r="D284" s="42">
        <f>+D283</f>
        <v>55228</v>
      </c>
      <c r="E284" s="27">
        <f>+D284*$I$34</f>
        <v>1656840</v>
      </c>
      <c r="F284" s="27">
        <v>1250000</v>
      </c>
      <c r="G284" s="27">
        <f>+E284-F284</f>
        <v>406840</v>
      </c>
      <c r="H284" s="29"/>
    </row>
    <row r="285" spans="2:11" hidden="1" x14ac:dyDescent="0.25">
      <c r="B285">
        <v>2033</v>
      </c>
      <c r="C285">
        <v>3</v>
      </c>
      <c r="D285" s="42">
        <f>+D284</f>
        <v>55228</v>
      </c>
      <c r="E285" s="27">
        <f>+D285*$I$34</f>
        <v>1656840</v>
      </c>
      <c r="F285" s="27">
        <v>511000</v>
      </c>
      <c r="G285" s="27">
        <f>+E285-F285</f>
        <v>1145840</v>
      </c>
      <c r="H285" s="29"/>
    </row>
    <row r="286" spans="2:11" hidden="1" x14ac:dyDescent="0.25">
      <c r="B286">
        <v>2034</v>
      </c>
      <c r="C286">
        <v>4</v>
      </c>
      <c r="D286" s="42">
        <f>+D285</f>
        <v>55228</v>
      </c>
      <c r="E286" s="27">
        <f>+D286*$I$34</f>
        <v>1656840</v>
      </c>
      <c r="F286" s="27"/>
      <c r="G286" s="27">
        <f>+E286-F286</f>
        <v>1656840</v>
      </c>
      <c r="H286" s="29"/>
    </row>
    <row r="287" spans="2:11" hidden="1" x14ac:dyDescent="0.25">
      <c r="B287">
        <v>2035</v>
      </c>
      <c r="C287">
        <v>5</v>
      </c>
      <c r="D287" s="42">
        <f>+D286</f>
        <v>55228</v>
      </c>
      <c r="E287" s="27">
        <f>+D287*$I$34</f>
        <v>1656840</v>
      </c>
      <c r="F287" s="27">
        <v>-1250000</v>
      </c>
      <c r="G287" s="27">
        <f>+E287-F287</f>
        <v>2906840</v>
      </c>
      <c r="H287" s="29"/>
    </row>
    <row r="288" spans="2:11" hidden="1" x14ac:dyDescent="0.25"/>
    <row r="289" spans="2:11" hidden="1" x14ac:dyDescent="0.25"/>
    <row r="290" spans="2:11" hidden="1" x14ac:dyDescent="0.25">
      <c r="B290" s="274" t="s">
        <v>92</v>
      </c>
      <c r="C290" s="275"/>
      <c r="D290" s="275"/>
      <c r="E290" s="275"/>
      <c r="F290" s="275"/>
      <c r="G290" s="276"/>
    </row>
    <row r="291" spans="2:11" ht="30" hidden="1" x14ac:dyDescent="0.25">
      <c r="B291" s="272" t="s">
        <v>65</v>
      </c>
      <c r="C291" s="65"/>
      <c r="D291" s="272" t="s">
        <v>64</v>
      </c>
      <c r="E291" s="65" t="s">
        <v>74</v>
      </c>
      <c r="F291" s="272" t="s">
        <v>69</v>
      </c>
      <c r="G291" s="270" t="s">
        <v>67</v>
      </c>
      <c r="H291" s="65"/>
      <c r="I291" s="65"/>
      <c r="J291" s="65"/>
      <c r="K291" s="65"/>
    </row>
    <row r="292" spans="2:11" hidden="1" x14ac:dyDescent="0.25">
      <c r="B292" s="272"/>
      <c r="D292" s="272"/>
      <c r="E292" s="66">
        <v>30</v>
      </c>
      <c r="F292" s="272"/>
      <c r="G292" s="270"/>
      <c r="H292" s="56"/>
      <c r="I292" s="57"/>
      <c r="J292" s="57"/>
      <c r="K292" s="57"/>
    </row>
    <row r="293" spans="2:11" hidden="1" x14ac:dyDescent="0.25">
      <c r="B293">
        <v>2020</v>
      </c>
      <c r="C293" s="24"/>
      <c r="D293" s="42"/>
      <c r="E293" s="42"/>
      <c r="F293" s="49">
        <f>SUM(F294:F308)</f>
        <v>511000</v>
      </c>
      <c r="G293" s="156">
        <f>SUM(G294:G308)</f>
        <v>6182600</v>
      </c>
      <c r="H293" s="29"/>
      <c r="I293" s="25"/>
      <c r="J293" s="25"/>
      <c r="K293" s="25"/>
    </row>
    <row r="294" spans="2:11" hidden="1" x14ac:dyDescent="0.25">
      <c r="B294">
        <v>2021</v>
      </c>
      <c r="D294" s="42"/>
      <c r="E294" s="67"/>
      <c r="F294" s="68"/>
      <c r="G294" s="69"/>
      <c r="H294" s="29"/>
      <c r="I294" s="48"/>
      <c r="J294" s="48"/>
      <c r="K294" s="48"/>
    </row>
    <row r="295" spans="2:11" hidden="1" x14ac:dyDescent="0.25">
      <c r="B295">
        <v>2022</v>
      </c>
      <c r="D295" s="42"/>
      <c r="E295" s="27"/>
      <c r="F295" s="27"/>
      <c r="G295" s="27"/>
      <c r="H295" s="29"/>
    </row>
    <row r="296" spans="2:11" hidden="1" x14ac:dyDescent="0.25">
      <c r="B296">
        <v>2023</v>
      </c>
      <c r="D296" s="42"/>
      <c r="E296" s="27"/>
      <c r="F296" s="27"/>
      <c r="G296" s="27"/>
      <c r="H296" s="29"/>
    </row>
    <row r="297" spans="2:11" hidden="1" x14ac:dyDescent="0.25">
      <c r="B297">
        <v>2024</v>
      </c>
      <c r="D297" s="42"/>
      <c r="E297" s="27"/>
      <c r="F297" s="27"/>
      <c r="G297" s="27"/>
      <c r="H297" s="29"/>
    </row>
    <row r="298" spans="2:11" hidden="1" x14ac:dyDescent="0.25">
      <c r="B298">
        <v>2025</v>
      </c>
      <c r="D298" s="42"/>
      <c r="E298" s="27"/>
      <c r="F298" s="27"/>
      <c r="G298" s="27"/>
      <c r="H298" s="29"/>
    </row>
    <row r="299" spans="2:11" hidden="1" x14ac:dyDescent="0.25">
      <c r="B299">
        <v>2026</v>
      </c>
      <c r="D299" s="42"/>
      <c r="E299" s="27"/>
      <c r="F299" s="27"/>
      <c r="G299" s="27"/>
      <c r="H299" s="29"/>
    </row>
    <row r="300" spans="2:11" hidden="1" x14ac:dyDescent="0.25">
      <c r="B300">
        <v>2027</v>
      </c>
      <c r="D300" s="42"/>
      <c r="E300" s="27"/>
      <c r="F300" s="27"/>
      <c r="G300" s="27"/>
      <c r="H300" s="29"/>
    </row>
    <row r="301" spans="2:11" hidden="1" x14ac:dyDescent="0.25">
      <c r="B301">
        <v>2028</v>
      </c>
      <c r="D301" s="42"/>
      <c r="E301" s="27"/>
      <c r="F301" s="27"/>
      <c r="G301" s="27"/>
      <c r="H301" s="29"/>
    </row>
    <row r="302" spans="2:11" hidden="1" x14ac:dyDescent="0.25">
      <c r="B302">
        <v>2029</v>
      </c>
      <c r="D302" s="42"/>
      <c r="E302" s="27"/>
      <c r="F302" s="27"/>
      <c r="G302" s="27"/>
      <c r="H302" s="29"/>
    </row>
    <row r="303" spans="2:11" hidden="1" x14ac:dyDescent="0.25">
      <c r="B303">
        <v>2030</v>
      </c>
      <c r="D303" s="42"/>
      <c r="E303" s="27"/>
      <c r="F303" s="27"/>
      <c r="G303" s="27"/>
      <c r="H303" s="29"/>
    </row>
    <row r="304" spans="2:11" hidden="1" x14ac:dyDescent="0.25">
      <c r="B304">
        <v>2031</v>
      </c>
      <c r="D304" s="42"/>
      <c r="E304" s="27"/>
      <c r="F304" s="27"/>
      <c r="G304" s="27"/>
      <c r="H304" s="29"/>
    </row>
    <row r="305" spans="2:11" hidden="1" x14ac:dyDescent="0.25">
      <c r="B305">
        <v>2032</v>
      </c>
      <c r="C305">
        <v>1</v>
      </c>
      <c r="D305" s="42">
        <f>+H46</f>
        <v>55780</v>
      </c>
      <c r="E305" s="27">
        <f>+D305*$I$34</f>
        <v>1673400</v>
      </c>
      <c r="F305" s="27">
        <v>1250000</v>
      </c>
      <c r="G305" s="27">
        <f>+E305-F305</f>
        <v>423400</v>
      </c>
      <c r="H305" s="29"/>
    </row>
    <row r="306" spans="2:11" hidden="1" x14ac:dyDescent="0.25">
      <c r="B306">
        <v>2033</v>
      </c>
      <c r="C306">
        <v>2</v>
      </c>
      <c r="D306" s="42">
        <f>+D305</f>
        <v>55780</v>
      </c>
      <c r="E306" s="27">
        <f>+D306*$I$34</f>
        <v>1673400</v>
      </c>
      <c r="F306" s="27">
        <v>511000</v>
      </c>
      <c r="G306" s="27">
        <f>+E306-F306</f>
        <v>1162400</v>
      </c>
      <c r="H306" s="29"/>
    </row>
    <row r="307" spans="2:11" hidden="1" x14ac:dyDescent="0.25">
      <c r="B307">
        <v>2034</v>
      </c>
      <c r="C307">
        <v>3</v>
      </c>
      <c r="D307" s="42">
        <f>+D306</f>
        <v>55780</v>
      </c>
      <c r="E307" s="27">
        <f>+D307*$I$34</f>
        <v>1673400</v>
      </c>
      <c r="F307" s="27"/>
      <c r="G307" s="27">
        <f>+E307-F307</f>
        <v>1673400</v>
      </c>
      <c r="H307" s="29"/>
    </row>
    <row r="308" spans="2:11" hidden="1" x14ac:dyDescent="0.25">
      <c r="B308">
        <v>2035</v>
      </c>
      <c r="C308">
        <v>4</v>
      </c>
      <c r="D308" s="42">
        <f>+D307</f>
        <v>55780</v>
      </c>
      <c r="E308" s="27">
        <f>+D308*$I$34</f>
        <v>1673400</v>
      </c>
      <c r="F308" s="27">
        <v>-1250000</v>
      </c>
      <c r="G308" s="27">
        <f>+E308-F308</f>
        <v>2923400</v>
      </c>
      <c r="H308" s="29"/>
    </row>
    <row r="309" spans="2:11" hidden="1" x14ac:dyDescent="0.25"/>
    <row r="310" spans="2:11" hidden="1" x14ac:dyDescent="0.25"/>
    <row r="311" spans="2:11" hidden="1" x14ac:dyDescent="0.25">
      <c r="B311" s="274" t="s">
        <v>83</v>
      </c>
      <c r="C311" s="275"/>
      <c r="D311" s="275"/>
      <c r="E311" s="275"/>
      <c r="F311" s="275"/>
      <c r="G311" s="276"/>
    </row>
    <row r="312" spans="2:11" ht="30" hidden="1" x14ac:dyDescent="0.25">
      <c r="B312" s="272" t="s">
        <v>65</v>
      </c>
      <c r="C312" s="65"/>
      <c r="D312" s="272" t="s">
        <v>64</v>
      </c>
      <c r="E312" s="65" t="s">
        <v>74</v>
      </c>
      <c r="F312" s="272" t="s">
        <v>69</v>
      </c>
      <c r="G312" s="270" t="s">
        <v>67</v>
      </c>
      <c r="H312" s="65"/>
      <c r="I312" s="65"/>
      <c r="J312" s="65"/>
      <c r="K312" s="65"/>
    </row>
    <row r="313" spans="2:11" hidden="1" x14ac:dyDescent="0.25">
      <c r="B313" s="272"/>
      <c r="D313" s="272"/>
      <c r="E313" s="66">
        <v>30</v>
      </c>
      <c r="F313" s="272"/>
      <c r="G313" s="270"/>
      <c r="H313" s="56"/>
      <c r="I313" s="57"/>
      <c r="J313" s="57"/>
      <c r="K313" s="57"/>
    </row>
    <row r="314" spans="2:11" hidden="1" x14ac:dyDescent="0.25">
      <c r="B314">
        <v>2020</v>
      </c>
      <c r="C314" s="24"/>
      <c r="D314" s="42"/>
      <c r="E314" s="42"/>
      <c r="F314" s="49">
        <f>SUM(F315:F329)</f>
        <v>-739000</v>
      </c>
      <c r="G314" s="156">
        <f>SUM(G315:G329)</f>
        <v>5809330</v>
      </c>
      <c r="H314" s="29"/>
      <c r="I314" s="25"/>
      <c r="J314" s="25"/>
      <c r="K314" s="25"/>
    </row>
    <row r="315" spans="2:11" hidden="1" x14ac:dyDescent="0.25">
      <c r="B315">
        <v>2021</v>
      </c>
      <c r="D315" s="42"/>
      <c r="E315" s="67"/>
      <c r="F315" s="68"/>
      <c r="G315" s="69"/>
      <c r="H315" s="29"/>
      <c r="I315" s="48"/>
      <c r="J315" s="48"/>
      <c r="K315" s="48"/>
    </row>
    <row r="316" spans="2:11" hidden="1" x14ac:dyDescent="0.25">
      <c r="B316">
        <v>2022</v>
      </c>
      <c r="D316" s="42"/>
      <c r="E316" s="27"/>
      <c r="F316" s="27"/>
      <c r="G316" s="27"/>
      <c r="H316" s="29"/>
    </row>
    <row r="317" spans="2:11" hidden="1" x14ac:dyDescent="0.25">
      <c r="B317">
        <v>2023</v>
      </c>
      <c r="D317" s="42"/>
      <c r="E317" s="27"/>
      <c r="F317" s="27"/>
      <c r="G317" s="27"/>
      <c r="H317" s="29"/>
    </row>
    <row r="318" spans="2:11" hidden="1" x14ac:dyDescent="0.25">
      <c r="B318">
        <v>2024</v>
      </c>
      <c r="D318" s="42"/>
      <c r="E318" s="27"/>
      <c r="F318" s="27"/>
      <c r="G318" s="27"/>
      <c r="H318" s="29"/>
    </row>
    <row r="319" spans="2:11" hidden="1" x14ac:dyDescent="0.25">
      <c r="B319">
        <v>2025</v>
      </c>
      <c r="D319" s="42"/>
      <c r="E319" s="27"/>
      <c r="F319" s="27"/>
      <c r="G319" s="27"/>
      <c r="H319" s="29"/>
    </row>
    <row r="320" spans="2:11" hidden="1" x14ac:dyDescent="0.25">
      <c r="B320">
        <v>2026</v>
      </c>
      <c r="D320" s="42"/>
      <c r="E320" s="27"/>
      <c r="F320" s="27"/>
      <c r="G320" s="27"/>
      <c r="H320" s="29"/>
    </row>
    <row r="321" spans="2:11" hidden="1" x14ac:dyDescent="0.25">
      <c r="B321">
        <v>2027</v>
      </c>
      <c r="D321" s="42"/>
      <c r="E321" s="27"/>
      <c r="F321" s="27"/>
      <c r="G321" s="27"/>
      <c r="H321" s="29"/>
    </row>
    <row r="322" spans="2:11" hidden="1" x14ac:dyDescent="0.25">
      <c r="B322">
        <v>2028</v>
      </c>
      <c r="D322" s="42"/>
      <c r="E322" s="27"/>
      <c r="F322" s="27"/>
      <c r="G322" s="27"/>
      <c r="H322" s="29"/>
    </row>
    <row r="323" spans="2:11" hidden="1" x14ac:dyDescent="0.25">
      <c r="B323">
        <v>2029</v>
      </c>
      <c r="D323" s="42"/>
      <c r="E323" s="27"/>
      <c r="F323" s="27"/>
      <c r="G323" s="27"/>
      <c r="H323" s="29"/>
    </row>
    <row r="324" spans="2:11" hidden="1" x14ac:dyDescent="0.25">
      <c r="B324">
        <v>2030</v>
      </c>
      <c r="D324" s="42"/>
      <c r="E324" s="27"/>
      <c r="F324" s="27"/>
      <c r="G324" s="27"/>
      <c r="H324" s="29"/>
    </row>
    <row r="325" spans="2:11" hidden="1" x14ac:dyDescent="0.25">
      <c r="B325">
        <v>2031</v>
      </c>
      <c r="D325" s="42"/>
      <c r="E325" s="27"/>
      <c r="F325" s="27"/>
      <c r="G325" s="27"/>
      <c r="H325" s="29"/>
    </row>
    <row r="326" spans="2:11" hidden="1" x14ac:dyDescent="0.25">
      <c r="B326">
        <v>2032</v>
      </c>
      <c r="D326" s="42"/>
      <c r="E326" s="27"/>
      <c r="F326" s="27"/>
      <c r="G326" s="27"/>
      <c r="H326" s="29"/>
    </row>
    <row r="327" spans="2:11" hidden="1" x14ac:dyDescent="0.25">
      <c r="B327">
        <v>2033</v>
      </c>
      <c r="C327">
        <v>1</v>
      </c>
      <c r="D327" s="42">
        <f>+H47</f>
        <v>56337</v>
      </c>
      <c r="E327" s="27">
        <f>+D327*$I$34</f>
        <v>1690110</v>
      </c>
      <c r="F327" s="27">
        <v>511000</v>
      </c>
      <c r="G327" s="27">
        <f>+E327-F327</f>
        <v>1179110</v>
      </c>
      <c r="H327" s="29"/>
    </row>
    <row r="328" spans="2:11" hidden="1" x14ac:dyDescent="0.25">
      <c r="B328">
        <v>2034</v>
      </c>
      <c r="C328">
        <v>2</v>
      </c>
      <c r="D328" s="42">
        <f>+D327</f>
        <v>56337</v>
      </c>
      <c r="E328" s="27">
        <f>+D328*$I$34</f>
        <v>1690110</v>
      </c>
      <c r="F328" s="27"/>
      <c r="G328" s="27">
        <f>+E328-F328</f>
        <v>1690110</v>
      </c>
      <c r="H328" s="29"/>
    </row>
    <row r="329" spans="2:11" hidden="1" x14ac:dyDescent="0.25">
      <c r="B329">
        <v>2035</v>
      </c>
      <c r="C329">
        <v>3</v>
      </c>
      <c r="D329" s="42">
        <f>+D328</f>
        <v>56337</v>
      </c>
      <c r="E329" s="27">
        <f>+D329*$I$34</f>
        <v>1690110</v>
      </c>
      <c r="F329" s="27">
        <v>-1250000</v>
      </c>
      <c r="G329" s="27">
        <f>+E329-F329</f>
        <v>2940110</v>
      </c>
      <c r="H329" s="29"/>
    </row>
    <row r="330" spans="2:11" hidden="1" x14ac:dyDescent="0.25"/>
    <row r="331" spans="2:11" hidden="1" x14ac:dyDescent="0.25"/>
    <row r="332" spans="2:11" hidden="1" x14ac:dyDescent="0.25">
      <c r="B332" s="274" t="s">
        <v>93</v>
      </c>
      <c r="C332" s="275"/>
      <c r="D332" s="275"/>
      <c r="E332" s="275"/>
      <c r="F332" s="275"/>
      <c r="G332" s="276"/>
    </row>
    <row r="333" spans="2:11" ht="30" hidden="1" x14ac:dyDescent="0.25">
      <c r="B333" s="272" t="s">
        <v>65</v>
      </c>
      <c r="C333" s="65"/>
      <c r="D333" s="272" t="s">
        <v>64</v>
      </c>
      <c r="E333" s="65" t="s">
        <v>74</v>
      </c>
      <c r="F333" s="272" t="s">
        <v>69</v>
      </c>
      <c r="G333" s="270" t="s">
        <v>67</v>
      </c>
      <c r="H333" s="65"/>
      <c r="I333" s="65"/>
      <c r="J333" s="65"/>
      <c r="K333" s="65"/>
    </row>
    <row r="334" spans="2:11" hidden="1" x14ac:dyDescent="0.25">
      <c r="B334" s="272"/>
      <c r="D334" s="272"/>
      <c r="E334" s="66">
        <v>30</v>
      </c>
      <c r="F334" s="272"/>
      <c r="G334" s="270"/>
      <c r="H334" s="56"/>
      <c r="I334" s="57"/>
      <c r="J334" s="57"/>
      <c r="K334" s="57"/>
    </row>
    <row r="335" spans="2:11" hidden="1" x14ac:dyDescent="0.25">
      <c r="B335">
        <v>2020</v>
      </c>
      <c r="C335" s="24"/>
      <c r="D335" s="42"/>
      <c r="E335" s="42"/>
      <c r="F335" s="49">
        <f>SUM(F336:F350)</f>
        <v>-1250000</v>
      </c>
      <c r="G335" s="156">
        <f>SUM(G336:G350)</f>
        <v>4664000</v>
      </c>
      <c r="H335" s="29"/>
      <c r="I335" s="25"/>
      <c r="J335" s="25"/>
      <c r="K335" s="25"/>
    </row>
    <row r="336" spans="2:11" hidden="1" x14ac:dyDescent="0.25">
      <c r="B336">
        <v>2021</v>
      </c>
      <c r="D336" s="42"/>
      <c r="E336" s="67"/>
      <c r="F336" s="68"/>
      <c r="G336" s="69"/>
      <c r="H336" s="29"/>
      <c r="I336" s="48"/>
      <c r="J336" s="48"/>
      <c r="K336" s="48"/>
    </row>
    <row r="337" spans="2:8" hidden="1" x14ac:dyDescent="0.25">
      <c r="B337">
        <v>2022</v>
      </c>
      <c r="D337" s="42"/>
      <c r="E337" s="27"/>
      <c r="F337" s="27"/>
      <c r="G337" s="27"/>
      <c r="H337" s="29"/>
    </row>
    <row r="338" spans="2:8" hidden="1" x14ac:dyDescent="0.25">
      <c r="B338">
        <v>2023</v>
      </c>
      <c r="D338" s="42"/>
      <c r="E338" s="27"/>
      <c r="F338" s="27"/>
      <c r="G338" s="27"/>
      <c r="H338" s="29"/>
    </row>
    <row r="339" spans="2:8" hidden="1" x14ac:dyDescent="0.25">
      <c r="B339">
        <v>2024</v>
      </c>
      <c r="D339" s="42"/>
      <c r="E339" s="27"/>
      <c r="F339" s="27"/>
      <c r="G339" s="27"/>
      <c r="H339" s="29"/>
    </row>
    <row r="340" spans="2:8" hidden="1" x14ac:dyDescent="0.25">
      <c r="B340">
        <v>2025</v>
      </c>
      <c r="D340" s="42"/>
      <c r="E340" s="27"/>
      <c r="F340" s="27"/>
      <c r="G340" s="27"/>
      <c r="H340" s="29"/>
    </row>
    <row r="341" spans="2:8" hidden="1" x14ac:dyDescent="0.25">
      <c r="B341">
        <v>2026</v>
      </c>
      <c r="D341" s="42"/>
      <c r="E341" s="27"/>
      <c r="F341" s="27"/>
      <c r="G341" s="27"/>
      <c r="H341" s="29"/>
    </row>
    <row r="342" spans="2:8" hidden="1" x14ac:dyDescent="0.25">
      <c r="B342">
        <v>2027</v>
      </c>
      <c r="D342" s="42"/>
      <c r="E342" s="27"/>
      <c r="F342" s="27"/>
      <c r="G342" s="27"/>
      <c r="H342" s="29"/>
    </row>
    <row r="343" spans="2:8" hidden="1" x14ac:dyDescent="0.25">
      <c r="B343">
        <v>2028</v>
      </c>
      <c r="D343" s="42"/>
      <c r="E343" s="27"/>
      <c r="F343" s="27"/>
      <c r="G343" s="27"/>
      <c r="H343" s="29"/>
    </row>
    <row r="344" spans="2:8" hidden="1" x14ac:dyDescent="0.25">
      <c r="B344">
        <v>2029</v>
      </c>
      <c r="D344" s="42"/>
      <c r="E344" s="27"/>
      <c r="F344" s="27"/>
      <c r="G344" s="27"/>
      <c r="H344" s="29"/>
    </row>
    <row r="345" spans="2:8" hidden="1" x14ac:dyDescent="0.25">
      <c r="B345">
        <v>2030</v>
      </c>
      <c r="D345" s="42"/>
      <c r="E345" s="27"/>
      <c r="F345" s="27"/>
      <c r="G345" s="27"/>
      <c r="H345" s="29"/>
    </row>
    <row r="346" spans="2:8" hidden="1" x14ac:dyDescent="0.25">
      <c r="B346">
        <v>2031</v>
      </c>
      <c r="D346" s="42"/>
      <c r="E346" s="27"/>
      <c r="F346" s="27"/>
      <c r="G346" s="27"/>
      <c r="H346" s="29"/>
    </row>
    <row r="347" spans="2:8" hidden="1" x14ac:dyDescent="0.25">
      <c r="B347">
        <v>2032</v>
      </c>
      <c r="D347" s="42"/>
      <c r="E347" s="27"/>
      <c r="F347" s="27"/>
      <c r="G347" s="27"/>
      <c r="H347" s="29"/>
    </row>
    <row r="348" spans="2:8" hidden="1" x14ac:dyDescent="0.25">
      <c r="B348">
        <v>2033</v>
      </c>
      <c r="D348" s="42"/>
      <c r="E348" s="27"/>
      <c r="F348" s="27"/>
      <c r="G348" s="27"/>
      <c r="H348" s="29"/>
    </row>
    <row r="349" spans="2:8" hidden="1" x14ac:dyDescent="0.25">
      <c r="B349">
        <v>2034</v>
      </c>
      <c r="C349">
        <v>2</v>
      </c>
      <c r="D349" s="42">
        <f>+'Ex. 3 Amortization table'!D19</f>
        <v>56900</v>
      </c>
      <c r="E349" s="27">
        <f>+D349*$I$34</f>
        <v>1707000</v>
      </c>
      <c r="F349" s="27">
        <v>-1250000</v>
      </c>
      <c r="G349" s="27">
        <f>+E349-F349</f>
        <v>2957000</v>
      </c>
      <c r="H349" s="29"/>
    </row>
    <row r="350" spans="2:8" hidden="1" x14ac:dyDescent="0.25">
      <c r="B350">
        <v>2035</v>
      </c>
      <c r="C350">
        <v>3</v>
      </c>
      <c r="D350" s="42">
        <f>+D349</f>
        <v>56900</v>
      </c>
      <c r="E350" s="27">
        <f>+D350*$I$34</f>
        <v>1707000</v>
      </c>
      <c r="F350" s="27"/>
      <c r="G350" s="27">
        <f>+E350-F350</f>
        <v>1707000</v>
      </c>
      <c r="H350" s="29"/>
    </row>
    <row r="351" spans="2:8" hidden="1" x14ac:dyDescent="0.25"/>
    <row r="352" spans="2:8" hidden="1" x14ac:dyDescent="0.25"/>
    <row r="353" hidden="1" x14ac:dyDescent="0.25"/>
  </sheetData>
  <mergeCells count="76">
    <mergeCell ref="H32:I32"/>
    <mergeCell ref="F33:F34"/>
    <mergeCell ref="F186:F187"/>
    <mergeCell ref="G186:G187"/>
    <mergeCell ref="D33:D34"/>
    <mergeCell ref="D32:F32"/>
    <mergeCell ref="D102:D103"/>
    <mergeCell ref="F102:F103"/>
    <mergeCell ref="B122:G122"/>
    <mergeCell ref="B143:G143"/>
    <mergeCell ref="B123:B124"/>
    <mergeCell ref="D123:D124"/>
    <mergeCell ref="F123:F124"/>
    <mergeCell ref="G123:G124"/>
    <mergeCell ref="G144:G145"/>
    <mergeCell ref="B165:B166"/>
    <mergeCell ref="B290:G290"/>
    <mergeCell ref="B311:G311"/>
    <mergeCell ref="B332:G332"/>
    <mergeCell ref="B185:G185"/>
    <mergeCell ref="B206:G206"/>
    <mergeCell ref="B227:G227"/>
    <mergeCell ref="B248:G248"/>
    <mergeCell ref="B269:G269"/>
    <mergeCell ref="B312:B313"/>
    <mergeCell ref="D312:D313"/>
    <mergeCell ref="F312:F313"/>
    <mergeCell ref="G312:G313"/>
    <mergeCell ref="B186:B187"/>
    <mergeCell ref="D186:D187"/>
    <mergeCell ref="B207:B208"/>
    <mergeCell ref="D207:D208"/>
    <mergeCell ref="B333:B334"/>
    <mergeCell ref="D333:D334"/>
    <mergeCell ref="F333:F334"/>
    <mergeCell ref="G333:G334"/>
    <mergeCell ref="D249:D250"/>
    <mergeCell ref="F249:F250"/>
    <mergeCell ref="G249:G250"/>
    <mergeCell ref="B270:B271"/>
    <mergeCell ref="D270:D271"/>
    <mergeCell ref="F270:F271"/>
    <mergeCell ref="G270:G271"/>
    <mergeCell ref="B291:B292"/>
    <mergeCell ref="D291:D292"/>
    <mergeCell ref="F291:F292"/>
    <mergeCell ref="G291:G292"/>
    <mergeCell ref="B249:B250"/>
    <mergeCell ref="D165:D166"/>
    <mergeCell ref="F165:F166"/>
    <mergeCell ref="G165:G166"/>
    <mergeCell ref="B144:B145"/>
    <mergeCell ref="D144:D145"/>
    <mergeCell ref="F144:F145"/>
    <mergeCell ref="B164:G164"/>
    <mergeCell ref="F207:F208"/>
    <mergeCell ref="G207:G208"/>
    <mergeCell ref="B228:B229"/>
    <mergeCell ref="D228:D229"/>
    <mergeCell ref="F228:F229"/>
    <mergeCell ref="G228:G229"/>
    <mergeCell ref="G102:G103"/>
    <mergeCell ref="B33:B34"/>
    <mergeCell ref="H33:H34"/>
    <mergeCell ref="B58:B59"/>
    <mergeCell ref="D58:D59"/>
    <mergeCell ref="F58:F59"/>
    <mergeCell ref="H58:H59"/>
    <mergeCell ref="B78:G78"/>
    <mergeCell ref="B80:G80"/>
    <mergeCell ref="B101:G101"/>
    <mergeCell ref="B81:B82"/>
    <mergeCell ref="D81:D82"/>
    <mergeCell ref="F81:F82"/>
    <mergeCell ref="G81:G82"/>
    <mergeCell ref="B102:B103"/>
  </mergeCells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12334" r:id="rId4">
          <objectPr defaultSiz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8</xdr:col>
                <xdr:colOff>638175</xdr:colOff>
                <xdr:row>28</xdr:row>
                <xdr:rowOff>133350</xdr:rowOff>
              </to>
            </anchor>
          </objectPr>
        </oleObject>
      </mc:Choice>
      <mc:Fallback>
        <oleObject progId="Word.Document.12" shapeId="12334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J70"/>
  <sheetViews>
    <sheetView workbookViewId="0"/>
    <sheetView topLeftCell="A3" workbookViewId="1"/>
  </sheetViews>
  <sheetFormatPr defaultRowHeight="15" x14ac:dyDescent="0.25"/>
  <cols>
    <col min="2" max="2" width="10.42578125" customWidth="1"/>
    <col min="3" max="3" width="0.5703125" customWidth="1"/>
    <col min="4" max="4" width="11.7109375" customWidth="1"/>
    <col min="5" max="5" width="15.28515625" bestFit="1" customWidth="1"/>
    <col min="6" max="6" width="14.28515625" style="5" bestFit="1" customWidth="1"/>
    <col min="7" max="7" width="17.28515625" style="5" bestFit="1" customWidth="1"/>
    <col min="8" max="8" width="0.5703125" style="25" customWidth="1"/>
    <col min="9" max="9" width="15.28515625" style="5" bestFit="1" customWidth="1"/>
    <col min="10" max="10" width="14.28515625" style="5" bestFit="1" customWidth="1"/>
    <col min="11" max="12" width="15.28515625" style="5" bestFit="1" customWidth="1"/>
    <col min="13" max="13" width="0.5703125" style="25" customWidth="1"/>
    <col min="18" max="18" width="14.28515625" bestFit="1" customWidth="1"/>
  </cols>
  <sheetData>
    <row r="1" spans="1:18" ht="18.75" x14ac:dyDescent="0.25">
      <c r="A1" s="46" t="s">
        <v>325</v>
      </c>
      <c r="G1" s="174" t="s">
        <v>348</v>
      </c>
    </row>
    <row r="2" spans="1:18" x14ac:dyDescent="0.25">
      <c r="D2" s="251" t="s">
        <v>68</v>
      </c>
      <c r="E2" s="251"/>
      <c r="F2" s="251"/>
      <c r="G2" s="251"/>
      <c r="H2" s="53"/>
      <c r="I2" s="252" t="s">
        <v>42</v>
      </c>
      <c r="J2" s="252"/>
      <c r="K2" s="252"/>
      <c r="L2" s="252"/>
      <c r="M2" s="55"/>
    </row>
    <row r="3" spans="1:18" s="3" customFormat="1" ht="103.15" customHeight="1" x14ac:dyDescent="0.25">
      <c r="B3" s="254" t="s">
        <v>65</v>
      </c>
      <c r="D3" s="254" t="s">
        <v>64</v>
      </c>
      <c r="E3" s="52" t="s">
        <v>74</v>
      </c>
      <c r="F3" s="278" t="s">
        <v>424</v>
      </c>
      <c r="G3" s="255" t="s">
        <v>355</v>
      </c>
      <c r="H3" s="54"/>
      <c r="I3" s="253" t="s">
        <v>22</v>
      </c>
      <c r="J3" s="6" t="s">
        <v>3</v>
      </c>
      <c r="K3" s="253" t="s">
        <v>1</v>
      </c>
      <c r="L3" s="253" t="s">
        <v>2</v>
      </c>
      <c r="M3" s="54"/>
    </row>
    <row r="4" spans="1:18" s="3" customFormat="1" x14ac:dyDescent="0.25">
      <c r="B4" s="254"/>
      <c r="D4" s="254"/>
      <c r="E4" s="63">
        <v>30</v>
      </c>
      <c r="F4" s="253"/>
      <c r="G4" s="279"/>
      <c r="H4" s="54"/>
      <c r="I4" s="253"/>
      <c r="J4" s="4">
        <v>0.05</v>
      </c>
      <c r="K4" s="253"/>
      <c r="L4" s="253"/>
      <c r="M4" s="54"/>
    </row>
    <row r="5" spans="1:18" x14ac:dyDescent="0.25">
      <c r="E5" s="70">
        <f>SUM(E7:E21)</f>
        <v>24385800</v>
      </c>
      <c r="F5" s="70">
        <f>SUM(F7:F21)</f>
        <v>8874910.792712165</v>
      </c>
      <c r="G5" s="70">
        <f>+'Example 3 Assumptions '!N40</f>
        <v>15000000</v>
      </c>
      <c r="H5" s="51">
        <f>SUM(H8:H21)</f>
        <v>0</v>
      </c>
      <c r="I5" s="70">
        <f>SUM(I7:I20)</f>
        <v>16760889.207287835</v>
      </c>
      <c r="J5" s="70">
        <f>SUM(J7:J20)</f>
        <v>4760889.2072878331</v>
      </c>
      <c r="K5" s="70">
        <f>SUM(K7:K20)</f>
        <v>12000000</v>
      </c>
    </row>
    <row r="6" spans="1:18" x14ac:dyDescent="0.25">
      <c r="B6">
        <v>2020</v>
      </c>
      <c r="C6" s="24"/>
      <c r="D6" s="27">
        <f>+'Example 3 Assumptions '!H35</f>
        <v>50000</v>
      </c>
      <c r="E6" s="51"/>
      <c r="F6" s="51"/>
      <c r="G6" s="51"/>
      <c r="H6" s="51"/>
      <c r="I6" s="51"/>
      <c r="J6" s="51"/>
      <c r="K6" s="25"/>
      <c r="L6" s="50">
        <v>12000000</v>
      </c>
      <c r="R6" s="51"/>
    </row>
    <row r="7" spans="1:18" x14ac:dyDescent="0.25">
      <c r="B7">
        <v>2021</v>
      </c>
      <c r="C7" s="24"/>
      <c r="D7" s="27">
        <f>+'Example 3 Assumptions '!H36</f>
        <v>50500</v>
      </c>
      <c r="E7" s="50">
        <f t="shared" ref="E7:E21" si="0">+D7*$E$4</f>
        <v>1515000</v>
      </c>
      <c r="F7" s="64">
        <f>+E7-I7</f>
        <v>265000</v>
      </c>
      <c r="G7" s="64">
        <f>+$G$5*'Example 3 Assumptions '!F36</f>
        <v>1000000</v>
      </c>
      <c r="I7" s="50">
        <v>1250000</v>
      </c>
      <c r="J7" s="50">
        <f>+L6*$J$4</f>
        <v>600000</v>
      </c>
      <c r="K7" s="50">
        <f>+I7-J7</f>
        <v>650000</v>
      </c>
      <c r="L7" s="25">
        <f>+L6-K7</f>
        <v>11350000</v>
      </c>
      <c r="N7" s="48">
        <f>+J7+K7-I7</f>
        <v>0</v>
      </c>
      <c r="R7" s="51"/>
    </row>
    <row r="8" spans="1:18" x14ac:dyDescent="0.25">
      <c r="B8">
        <v>2022</v>
      </c>
      <c r="C8" s="24"/>
      <c r="D8" s="27">
        <f>+'Example 3 Assumptions '!H37</f>
        <v>51005</v>
      </c>
      <c r="E8" s="25">
        <f t="shared" si="0"/>
        <v>1530150</v>
      </c>
      <c r="F8" s="25">
        <f>+E8-I8</f>
        <v>280150</v>
      </c>
      <c r="G8" s="64">
        <f>+$G$5*'Example 3 Assumptions '!F37</f>
        <v>1000000</v>
      </c>
      <c r="I8" s="25">
        <v>1250000</v>
      </c>
      <c r="J8" s="25">
        <f t="shared" ref="J8:J17" si="1">+L7*$J$4</f>
        <v>567500</v>
      </c>
      <c r="K8" s="25">
        <f t="shared" ref="K8:K18" si="2">+I8-J8</f>
        <v>682500</v>
      </c>
      <c r="L8" s="25">
        <f t="shared" ref="L8:L17" si="3">+L7-K8</f>
        <v>10667500</v>
      </c>
      <c r="N8" s="48">
        <f t="shared" ref="N8:N21" si="4">+J8+K8-I8</f>
        <v>0</v>
      </c>
    </row>
    <row r="9" spans="1:18" x14ac:dyDescent="0.25">
      <c r="B9">
        <v>2023</v>
      </c>
      <c r="C9" s="24"/>
      <c r="D9" s="27">
        <f>+'Example 3 Assumptions '!H38</f>
        <v>51515</v>
      </c>
      <c r="E9" s="25">
        <f t="shared" si="0"/>
        <v>1545450</v>
      </c>
      <c r="F9" s="25">
        <f>+E9-I9</f>
        <v>295450</v>
      </c>
      <c r="G9" s="64">
        <f>+$G$5*'Example 3 Assumptions '!F38</f>
        <v>1000000</v>
      </c>
      <c r="I9" s="25">
        <v>1250000</v>
      </c>
      <c r="J9" s="25">
        <f t="shared" si="1"/>
        <v>533375</v>
      </c>
      <c r="K9" s="25">
        <f t="shared" si="2"/>
        <v>716625</v>
      </c>
      <c r="L9" s="25">
        <f t="shared" si="3"/>
        <v>9950875</v>
      </c>
      <c r="N9" s="48">
        <f t="shared" si="4"/>
        <v>0</v>
      </c>
    </row>
    <row r="10" spans="1:18" x14ac:dyDescent="0.25">
      <c r="B10">
        <v>2024</v>
      </c>
      <c r="C10" s="24"/>
      <c r="D10" s="27">
        <f>+'Example 3 Assumptions '!H39</f>
        <v>52030</v>
      </c>
      <c r="E10" s="25">
        <f t="shared" si="0"/>
        <v>1560900</v>
      </c>
      <c r="F10" s="25">
        <f>+E10-I10</f>
        <v>310900</v>
      </c>
      <c r="G10" s="64">
        <f>+$G$5*'Example 3 Assumptions '!F39</f>
        <v>1000000</v>
      </c>
      <c r="I10" s="25">
        <v>1250000</v>
      </c>
      <c r="J10" s="25">
        <f t="shared" si="1"/>
        <v>497543.75</v>
      </c>
      <c r="K10" s="25">
        <f t="shared" si="2"/>
        <v>752456.25</v>
      </c>
      <c r="L10" s="25">
        <f t="shared" si="3"/>
        <v>9198418.75</v>
      </c>
      <c r="N10" s="48">
        <f t="shared" si="4"/>
        <v>0</v>
      </c>
    </row>
    <row r="11" spans="1:18" x14ac:dyDescent="0.25">
      <c r="B11">
        <v>2025</v>
      </c>
      <c r="C11" s="24"/>
      <c r="D11" s="27">
        <f>+'Example 3 Assumptions '!H40</f>
        <v>52550</v>
      </c>
      <c r="E11" s="25">
        <f t="shared" si="0"/>
        <v>1576500</v>
      </c>
      <c r="F11" s="25">
        <f>+E11-I11</f>
        <v>326500</v>
      </c>
      <c r="G11" s="64">
        <f>+$G$5*'Example 3 Assumptions '!F40</f>
        <v>1000000</v>
      </c>
      <c r="I11" s="25">
        <v>1250000</v>
      </c>
      <c r="J11" s="25">
        <f t="shared" si="1"/>
        <v>459920.9375</v>
      </c>
      <c r="K11" s="25">
        <f t="shared" si="2"/>
        <v>790079.0625</v>
      </c>
      <c r="L11" s="25">
        <f t="shared" si="3"/>
        <v>8408339.6875</v>
      </c>
      <c r="N11" s="48">
        <f t="shared" si="4"/>
        <v>0</v>
      </c>
    </row>
    <row r="12" spans="1:18" x14ac:dyDescent="0.25">
      <c r="B12">
        <v>2026</v>
      </c>
      <c r="C12" s="24"/>
      <c r="D12" s="27">
        <f>+'Example 3 Assumptions '!H41</f>
        <v>53075</v>
      </c>
      <c r="E12" s="25">
        <f t="shared" si="0"/>
        <v>1592250</v>
      </c>
      <c r="F12" s="25">
        <f>+E12-I12</f>
        <v>342250</v>
      </c>
      <c r="G12" s="64">
        <f>+$G$5*'Example 3 Assumptions '!F41</f>
        <v>1000000</v>
      </c>
      <c r="I12" s="25">
        <v>1250000</v>
      </c>
      <c r="J12" s="25">
        <f t="shared" si="1"/>
        <v>420416.984375</v>
      </c>
      <c r="K12" s="25">
        <f t="shared" si="2"/>
        <v>829583.015625</v>
      </c>
      <c r="L12" s="25">
        <f t="shared" si="3"/>
        <v>7578756.671875</v>
      </c>
      <c r="N12" s="48">
        <f t="shared" si="4"/>
        <v>0</v>
      </c>
    </row>
    <row r="13" spans="1:18" x14ac:dyDescent="0.25">
      <c r="B13">
        <v>2027</v>
      </c>
      <c r="C13" s="24"/>
      <c r="D13" s="27">
        <f>+'Example 3 Assumptions '!H42</f>
        <v>53605</v>
      </c>
      <c r="E13" s="25">
        <f t="shared" si="0"/>
        <v>1608150</v>
      </c>
      <c r="F13" s="25">
        <f>+E13-I13</f>
        <v>358150</v>
      </c>
      <c r="G13" s="64">
        <f>+$G$5*'Example 3 Assumptions '!F42</f>
        <v>1000000</v>
      </c>
      <c r="I13" s="25">
        <v>1250000</v>
      </c>
      <c r="J13" s="25">
        <f t="shared" si="1"/>
        <v>378937.83359375002</v>
      </c>
      <c r="K13" s="25">
        <f t="shared" si="2"/>
        <v>871062.16640624998</v>
      </c>
      <c r="L13" s="25">
        <f t="shared" si="3"/>
        <v>6707694.5054687504</v>
      </c>
      <c r="N13" s="48">
        <f t="shared" si="4"/>
        <v>0</v>
      </c>
    </row>
    <row r="14" spans="1:18" x14ac:dyDescent="0.25">
      <c r="B14">
        <v>2028</v>
      </c>
      <c r="C14" s="24"/>
      <c r="D14" s="27">
        <f>+'Example 3 Assumptions '!H43</f>
        <v>54141</v>
      </c>
      <c r="E14" s="25">
        <f t="shared" si="0"/>
        <v>1624230</v>
      </c>
      <c r="F14" s="25">
        <f>+E14-I14</f>
        <v>374230</v>
      </c>
      <c r="G14" s="64">
        <f>+$G$5*'Example 3 Assumptions '!F43</f>
        <v>1000000</v>
      </c>
      <c r="I14" s="25">
        <v>1250000</v>
      </c>
      <c r="J14" s="25">
        <f t="shared" si="1"/>
        <v>335384.72527343757</v>
      </c>
      <c r="K14" s="25">
        <f t="shared" si="2"/>
        <v>914615.27472656243</v>
      </c>
      <c r="L14" s="25">
        <f t="shared" si="3"/>
        <v>5793079.2307421882</v>
      </c>
      <c r="N14" s="48">
        <f t="shared" si="4"/>
        <v>0</v>
      </c>
    </row>
    <row r="15" spans="1:18" x14ac:dyDescent="0.25">
      <c r="B15">
        <v>2029</v>
      </c>
      <c r="C15" s="24"/>
      <c r="D15" s="27">
        <f>+'Example 3 Assumptions '!H44</f>
        <v>54682</v>
      </c>
      <c r="E15" s="25">
        <f t="shared" si="0"/>
        <v>1640460</v>
      </c>
      <c r="F15" s="25">
        <f>+E15-I15</f>
        <v>390460</v>
      </c>
      <c r="G15" s="64">
        <f>+$G$5*'Example 3 Assumptions '!F44</f>
        <v>1000000</v>
      </c>
      <c r="I15" s="25">
        <v>1250000</v>
      </c>
      <c r="J15" s="25">
        <f t="shared" si="1"/>
        <v>289653.9615371094</v>
      </c>
      <c r="K15" s="25">
        <f t="shared" si="2"/>
        <v>960346.03846289054</v>
      </c>
      <c r="L15" s="25">
        <f t="shared" si="3"/>
        <v>4832733.1922792979</v>
      </c>
      <c r="N15" s="48">
        <f t="shared" si="4"/>
        <v>0</v>
      </c>
    </row>
    <row r="16" spans="1:18" x14ac:dyDescent="0.25">
      <c r="B16">
        <v>2030</v>
      </c>
      <c r="C16" s="24"/>
      <c r="D16" s="27">
        <f>+'Example 3 Assumptions '!H45</f>
        <v>55228</v>
      </c>
      <c r="E16" s="25">
        <f t="shared" si="0"/>
        <v>1656840</v>
      </c>
      <c r="F16" s="25">
        <f>+E16-I16</f>
        <v>406840</v>
      </c>
      <c r="G16" s="64">
        <f>+$G$5*'Example 3 Assumptions '!F45</f>
        <v>1000000</v>
      </c>
      <c r="I16" s="25">
        <v>1250000</v>
      </c>
      <c r="J16" s="25">
        <f t="shared" si="1"/>
        <v>241636.6596139649</v>
      </c>
      <c r="K16" s="25">
        <f t="shared" si="2"/>
        <v>1008363.3403860352</v>
      </c>
      <c r="L16" s="25">
        <f t="shared" si="3"/>
        <v>3824369.8518932629</v>
      </c>
      <c r="N16" s="48">
        <f t="shared" si="4"/>
        <v>0</v>
      </c>
    </row>
    <row r="17" spans="2:14" x14ac:dyDescent="0.25">
      <c r="B17">
        <v>2031</v>
      </c>
      <c r="C17" s="24"/>
      <c r="D17" s="27">
        <f>+'Example 3 Assumptions '!H46</f>
        <v>55780</v>
      </c>
      <c r="E17" s="25">
        <f t="shared" si="0"/>
        <v>1673400</v>
      </c>
      <c r="F17" s="25">
        <f>+E17-I17</f>
        <v>423400</v>
      </c>
      <c r="G17" s="64">
        <f>+$G$5*'Example 3 Assumptions '!F46</f>
        <v>1000000</v>
      </c>
      <c r="I17" s="25">
        <v>1250000</v>
      </c>
      <c r="J17" s="25">
        <f t="shared" si="1"/>
        <v>191218.49259466317</v>
      </c>
      <c r="K17" s="25">
        <f t="shared" si="2"/>
        <v>1058781.5074053369</v>
      </c>
      <c r="L17" s="25">
        <f t="shared" si="3"/>
        <v>2765588.344487926</v>
      </c>
      <c r="N17" s="48">
        <f t="shared" si="4"/>
        <v>0</v>
      </c>
    </row>
    <row r="18" spans="2:14" x14ac:dyDescent="0.25">
      <c r="B18">
        <v>2032</v>
      </c>
      <c r="D18" s="27">
        <f>+'Example 3 Assumptions '!H47</f>
        <v>56337</v>
      </c>
      <c r="E18" s="25">
        <f t="shared" si="0"/>
        <v>1690110</v>
      </c>
      <c r="F18" s="25">
        <f>+E18-I18</f>
        <v>440110</v>
      </c>
      <c r="G18" s="64">
        <f>+$G$5*'Example 3 Assumptions '!F47</f>
        <v>1000000</v>
      </c>
      <c r="I18" s="25">
        <v>1250000</v>
      </c>
      <c r="J18" s="25">
        <f>+L17*$J$4</f>
        <v>138279.41722439631</v>
      </c>
      <c r="K18" s="25">
        <f t="shared" si="2"/>
        <v>1111720.5827756037</v>
      </c>
      <c r="L18" s="25">
        <f>+L17-K18</f>
        <v>1653867.7617123222</v>
      </c>
      <c r="N18" s="48">
        <f t="shared" si="4"/>
        <v>0</v>
      </c>
    </row>
    <row r="19" spans="2:14" x14ac:dyDescent="0.25">
      <c r="B19">
        <v>2033</v>
      </c>
      <c r="C19" s="24"/>
      <c r="D19" s="27">
        <f>+'Example 3 Assumptions '!H48</f>
        <v>56900</v>
      </c>
      <c r="E19" s="25">
        <f t="shared" si="0"/>
        <v>1707000</v>
      </c>
      <c r="F19" s="25">
        <f>+E19-I19</f>
        <v>457000</v>
      </c>
      <c r="G19" s="64">
        <f>+$G$5*'Example 3 Assumptions '!F48</f>
        <v>1000000</v>
      </c>
      <c r="I19" s="25">
        <v>1250000</v>
      </c>
      <c r="J19" s="25">
        <f>+L18*$J$4</f>
        <v>82693.388085616112</v>
      </c>
      <c r="K19" s="25">
        <f>+I19-J19</f>
        <v>1167306.6119143839</v>
      </c>
      <c r="L19" s="25">
        <f>+L18-K19</f>
        <v>486561.1497979383</v>
      </c>
      <c r="N19" s="48">
        <f t="shared" si="4"/>
        <v>0</v>
      </c>
    </row>
    <row r="20" spans="2:14" x14ac:dyDescent="0.25">
      <c r="B20">
        <v>2034</v>
      </c>
      <c r="C20" s="24"/>
      <c r="D20" s="27">
        <f>+'Example 3 Assumptions '!H49</f>
        <v>57469</v>
      </c>
      <c r="E20" s="25">
        <f t="shared" si="0"/>
        <v>1724070</v>
      </c>
      <c r="F20" s="25">
        <f>+E20-I20+1250000</f>
        <v>2463180.792712165</v>
      </c>
      <c r="G20" s="64">
        <f>+$G$5*'Example 3 Assumptions '!F49+$G$5*'Example 3 Assumptions '!F50</f>
        <v>2000000</v>
      </c>
      <c r="I20" s="25">
        <f>+J20+K20</f>
        <v>510889.20728783519</v>
      </c>
      <c r="J20" s="25">
        <f>+L19*$J$4</f>
        <v>24328.057489896917</v>
      </c>
      <c r="K20" s="25">
        <f>+L19</f>
        <v>486561.1497979383</v>
      </c>
      <c r="L20" s="25">
        <f>+L19-K20</f>
        <v>0</v>
      </c>
      <c r="N20" s="48">
        <f t="shared" si="4"/>
        <v>0</v>
      </c>
    </row>
    <row r="21" spans="2:14" x14ac:dyDescent="0.25">
      <c r="B21">
        <v>2035</v>
      </c>
      <c r="C21" s="24"/>
      <c r="D21" s="27">
        <f>+'Example 3 Assumptions '!H50</f>
        <v>58043</v>
      </c>
      <c r="E21" s="25">
        <f t="shared" si="0"/>
        <v>1741290</v>
      </c>
      <c r="F21" s="64">
        <f>+E21-I21</f>
        <v>1741290</v>
      </c>
      <c r="G21" s="64"/>
      <c r="I21" s="25">
        <v>0</v>
      </c>
      <c r="J21" s="25">
        <f>+L20*$J$4</f>
        <v>0</v>
      </c>
      <c r="K21" s="25">
        <f>+L20</f>
        <v>0</v>
      </c>
      <c r="L21" s="25">
        <f>+L20-K21</f>
        <v>0</v>
      </c>
      <c r="N21" s="48">
        <f t="shared" si="4"/>
        <v>0</v>
      </c>
    </row>
    <row r="22" spans="2:14" x14ac:dyDescent="0.25">
      <c r="C22" s="24"/>
      <c r="D22" s="25"/>
      <c r="E22" s="25"/>
      <c r="F22" s="25"/>
      <c r="G22" s="25">
        <f t="shared" ref="G22" si="5">SUM(G7:G21)-G5</f>
        <v>0</v>
      </c>
      <c r="I22" s="25"/>
      <c r="J22" s="25"/>
      <c r="K22" s="25"/>
      <c r="L22" s="25"/>
    </row>
    <row r="23" spans="2:14" x14ac:dyDescent="0.25">
      <c r="C23" s="24"/>
      <c r="D23" s="25"/>
      <c r="E23" s="25"/>
      <c r="F23" s="25"/>
      <c r="G23" s="25"/>
      <c r="I23" s="25"/>
      <c r="J23" s="25"/>
      <c r="K23" s="25"/>
      <c r="L23" s="25"/>
    </row>
    <row r="24" spans="2:14" x14ac:dyDescent="0.25">
      <c r="B24" s="121" t="s">
        <v>337</v>
      </c>
      <c r="C24" s="24"/>
      <c r="D24" s="25" t="s">
        <v>209</v>
      </c>
      <c r="E24" s="25"/>
      <c r="F24" s="25"/>
      <c r="G24" s="25"/>
      <c r="I24" s="25"/>
      <c r="J24" s="25"/>
      <c r="K24" s="25"/>
      <c r="L24" s="25"/>
    </row>
    <row r="25" spans="2:14" x14ac:dyDescent="0.25">
      <c r="C25" s="24"/>
      <c r="D25" s="25" t="s">
        <v>338</v>
      </c>
      <c r="E25" s="25"/>
      <c r="F25" s="25"/>
      <c r="G25" s="25"/>
      <c r="I25" s="25"/>
      <c r="J25" s="25"/>
      <c r="K25" s="25"/>
      <c r="L25" s="25"/>
    </row>
    <row r="26" spans="2:14" x14ac:dyDescent="0.25">
      <c r="C26" s="24"/>
      <c r="D26" s="25" t="s">
        <v>423</v>
      </c>
      <c r="E26" s="25"/>
      <c r="F26" s="25"/>
      <c r="G26" s="25"/>
      <c r="I26" s="25"/>
      <c r="J26" s="25"/>
      <c r="K26" s="25"/>
      <c r="L26" s="25"/>
    </row>
    <row r="27" spans="2:14" x14ac:dyDescent="0.25">
      <c r="B27" s="121"/>
      <c r="C27" s="24"/>
      <c r="D27" s="15"/>
      <c r="E27" s="25"/>
      <c r="F27" s="25"/>
      <c r="G27" s="25"/>
      <c r="I27" s="25"/>
      <c r="J27" s="25"/>
      <c r="K27" s="25"/>
      <c r="L27" s="25"/>
    </row>
    <row r="28" spans="2:14" x14ac:dyDescent="0.25">
      <c r="C28" s="24"/>
      <c r="D28" s="15"/>
      <c r="E28" s="25"/>
      <c r="F28" s="25"/>
      <c r="G28" s="25"/>
      <c r="I28" s="25"/>
      <c r="J28" s="25"/>
      <c r="K28" s="25"/>
      <c r="L28" s="25"/>
    </row>
    <row r="29" spans="2:14" x14ac:dyDescent="0.25">
      <c r="C29" s="24"/>
      <c r="D29" s="169"/>
      <c r="E29" s="25"/>
      <c r="F29" s="25"/>
      <c r="G29" s="25"/>
      <c r="I29" s="25"/>
      <c r="J29" s="25"/>
      <c r="K29" s="25"/>
      <c r="L29" s="25"/>
    </row>
    <row r="30" spans="2:14" x14ac:dyDescent="0.25">
      <c r="C30" s="24"/>
      <c r="D30" s="25"/>
      <c r="E30" s="25"/>
      <c r="F30" s="25"/>
      <c r="G30" s="25"/>
      <c r="I30" s="25"/>
      <c r="J30" s="25"/>
      <c r="K30" s="25"/>
      <c r="L30" s="25"/>
    </row>
    <row r="31" spans="2:14" x14ac:dyDescent="0.25">
      <c r="C31" s="24"/>
      <c r="D31" s="25"/>
      <c r="E31" s="25"/>
      <c r="F31" s="25"/>
      <c r="G31" s="25"/>
      <c r="I31" s="25"/>
      <c r="J31" s="25"/>
      <c r="K31" s="25"/>
      <c r="L31" s="25"/>
    </row>
    <row r="32" spans="2:14" x14ac:dyDescent="0.25">
      <c r="C32" s="24"/>
      <c r="D32" s="25"/>
      <c r="E32" s="25"/>
      <c r="F32" s="25"/>
      <c r="G32" s="25"/>
      <c r="I32" s="25"/>
      <c r="J32" s="25"/>
      <c r="K32" s="25"/>
      <c r="L32" s="25"/>
    </row>
    <row r="33" spans="1:62" x14ac:dyDescent="0.25">
      <c r="C33" s="24"/>
      <c r="D33" s="25"/>
      <c r="E33" s="25"/>
      <c r="F33" s="25"/>
      <c r="G33" s="25"/>
      <c r="I33" s="25"/>
      <c r="J33" s="25"/>
      <c r="K33" s="25"/>
      <c r="L33" s="25"/>
    </row>
    <row r="34" spans="1:62" x14ac:dyDescent="0.25">
      <c r="C34" s="24"/>
      <c r="D34" s="25"/>
      <c r="E34" s="25"/>
      <c r="F34" s="33"/>
      <c r="G34" s="33"/>
      <c r="I34" s="25"/>
      <c r="J34" s="25"/>
      <c r="K34" s="25"/>
      <c r="L34" s="25"/>
    </row>
    <row r="35" spans="1:62" x14ac:dyDescent="0.25">
      <c r="C35" s="24"/>
      <c r="D35" s="25"/>
      <c r="E35" s="25"/>
      <c r="F35" s="33"/>
      <c r="G35" s="33"/>
      <c r="I35" s="25"/>
      <c r="J35" s="25"/>
      <c r="K35" s="25"/>
      <c r="L35" s="25"/>
    </row>
    <row r="36" spans="1:62" s="5" customFormat="1" x14ac:dyDescent="0.25">
      <c r="A36"/>
      <c r="B36"/>
      <c r="C36" s="24"/>
      <c r="D36" s="25"/>
      <c r="E36" s="25"/>
      <c r="F36" s="33"/>
      <c r="G36" s="33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</row>
    <row r="37" spans="1:62" s="5" customFormat="1" x14ac:dyDescent="0.25">
      <c r="A37"/>
      <c r="B37"/>
      <c r="C37" s="24"/>
      <c r="D37" s="25"/>
      <c r="E37" s="25"/>
      <c r="F37" s="33"/>
      <c r="G37" s="33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</row>
    <row r="38" spans="1:62" s="5" customFormat="1" x14ac:dyDescent="0.25">
      <c r="A38"/>
      <c r="B38"/>
      <c r="C38" s="24"/>
      <c r="D38" s="25"/>
      <c r="E38" s="25"/>
      <c r="F38" s="33"/>
      <c r="G38" s="33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</row>
    <row r="39" spans="1:62" x14ac:dyDescent="0.25">
      <c r="C39" s="24"/>
      <c r="D39" s="25"/>
      <c r="E39" s="25"/>
      <c r="F39" s="33"/>
      <c r="G39" s="33"/>
      <c r="I39" s="25"/>
      <c r="J39" s="25"/>
      <c r="K39" s="25"/>
      <c r="L39" s="25"/>
    </row>
    <row r="40" spans="1:62" x14ac:dyDescent="0.25">
      <c r="C40" s="24"/>
      <c r="D40" s="25"/>
      <c r="E40" s="25"/>
      <c r="F40" s="33"/>
      <c r="G40" s="33"/>
      <c r="I40" s="25"/>
      <c r="J40" s="25"/>
      <c r="K40" s="25"/>
      <c r="L40" s="25"/>
    </row>
    <row r="41" spans="1:62" x14ac:dyDescent="0.25">
      <c r="C41" s="24"/>
      <c r="D41" s="25"/>
      <c r="E41" s="25"/>
      <c r="F41" s="33"/>
      <c r="G41" s="33"/>
      <c r="I41" s="25"/>
      <c r="J41" s="25"/>
      <c r="K41" s="25"/>
      <c r="L41" s="25"/>
    </row>
    <row r="42" spans="1:62" x14ac:dyDescent="0.25">
      <c r="C42" s="24"/>
      <c r="D42" s="25"/>
      <c r="E42" s="25"/>
      <c r="F42" s="33"/>
      <c r="G42" s="33"/>
      <c r="I42" s="25"/>
      <c r="J42" s="25"/>
      <c r="K42" s="25"/>
      <c r="L42" s="25"/>
    </row>
    <row r="43" spans="1:62" x14ac:dyDescent="0.25">
      <c r="C43" s="24"/>
      <c r="D43" s="25"/>
      <c r="E43" s="25"/>
      <c r="F43" s="33"/>
      <c r="G43" s="33"/>
      <c r="I43" s="25"/>
      <c r="J43" s="25"/>
      <c r="K43" s="25"/>
      <c r="L43" s="25"/>
    </row>
    <row r="44" spans="1:62" x14ac:dyDescent="0.25">
      <c r="C44" s="24"/>
      <c r="D44" s="25"/>
      <c r="E44" s="25"/>
      <c r="F44" s="33"/>
      <c r="G44" s="33"/>
      <c r="I44" s="25"/>
      <c r="J44" s="25"/>
      <c r="K44" s="25"/>
      <c r="L44" s="25"/>
    </row>
    <row r="45" spans="1:62" x14ac:dyDescent="0.25">
      <c r="C45" s="24"/>
      <c r="D45" s="25"/>
      <c r="E45" s="25"/>
      <c r="F45" s="33"/>
      <c r="G45" s="33"/>
      <c r="I45" s="25"/>
      <c r="J45" s="25"/>
      <c r="K45" s="25"/>
      <c r="L45" s="25"/>
    </row>
    <row r="46" spans="1:62" x14ac:dyDescent="0.25">
      <c r="C46" s="24"/>
      <c r="D46" s="25"/>
      <c r="E46" s="25"/>
      <c r="F46" s="33"/>
      <c r="G46" s="33"/>
      <c r="I46" s="25"/>
      <c r="J46" s="25"/>
      <c r="K46" s="25"/>
      <c r="L46" s="25"/>
    </row>
    <row r="47" spans="1:62" s="25" customFormat="1" x14ac:dyDescent="0.25">
      <c r="A47"/>
      <c r="B47"/>
      <c r="C47" s="24"/>
      <c r="D47" s="24"/>
      <c r="E47" s="24"/>
      <c r="F47" s="33"/>
      <c r="G47" s="33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</row>
    <row r="48" spans="1:62" s="25" customFormat="1" x14ac:dyDescent="0.25">
      <c r="A48"/>
      <c r="B48"/>
      <c r="C48" s="24"/>
      <c r="D48" s="24"/>
      <c r="E48" s="24"/>
      <c r="F48" s="33"/>
      <c r="G48" s="33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</row>
    <row r="49" spans="1:62" s="25" customFormat="1" x14ac:dyDescent="0.25">
      <c r="A49"/>
      <c r="B49"/>
      <c r="C49" s="24"/>
      <c r="D49" s="24"/>
      <c r="E49" s="24"/>
      <c r="F49" s="33"/>
      <c r="G49" s="33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</row>
    <row r="50" spans="1:62" s="25" customFormat="1" x14ac:dyDescent="0.25">
      <c r="A50"/>
      <c r="B50"/>
      <c r="C50" s="24"/>
      <c r="D50" s="24"/>
      <c r="E50" s="24"/>
      <c r="F50" s="33"/>
      <c r="G50" s="33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</row>
    <row r="51" spans="1:62" s="25" customFormat="1" x14ac:dyDescent="0.25">
      <c r="A51"/>
      <c r="B51"/>
      <c r="C51" s="24"/>
      <c r="D51" s="24"/>
      <c r="E51" s="24"/>
      <c r="F51" s="33"/>
      <c r="G51" s="33"/>
      <c r="I51" s="5"/>
      <c r="J51" s="5"/>
      <c r="K51" s="5"/>
      <c r="L51" s="5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</row>
    <row r="52" spans="1:62" s="25" customFormat="1" x14ac:dyDescent="0.25">
      <c r="A52"/>
      <c r="B52"/>
      <c r="C52" s="24"/>
      <c r="D52" s="24"/>
      <c r="E52" s="24"/>
      <c r="F52" s="33"/>
      <c r="G52" s="33"/>
      <c r="I52" s="5"/>
      <c r="J52" s="5"/>
      <c r="K52" s="5"/>
      <c r="L52" s="5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</row>
    <row r="53" spans="1:62" s="25" customFormat="1" x14ac:dyDescent="0.25">
      <c r="A53"/>
      <c r="B53"/>
      <c r="C53" s="24"/>
      <c r="D53" s="24"/>
      <c r="E53" s="24"/>
      <c r="F53" s="33"/>
      <c r="G53" s="33"/>
      <c r="I53" s="5"/>
      <c r="J53" s="5"/>
      <c r="K53" s="5"/>
      <c r="L53" s="5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</row>
    <row r="54" spans="1:62" s="25" customFormat="1" x14ac:dyDescent="0.25">
      <c r="A54"/>
      <c r="B54"/>
      <c r="C54" s="24"/>
      <c r="D54" s="24"/>
      <c r="E54" s="24"/>
      <c r="F54" s="33"/>
      <c r="G54" s="33"/>
      <c r="I54" s="5"/>
      <c r="J54" s="5"/>
      <c r="K54" s="5"/>
      <c r="L54" s="5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</row>
    <row r="55" spans="1:62" s="25" customFormat="1" x14ac:dyDescent="0.25">
      <c r="A55"/>
      <c r="B55"/>
      <c r="C55" s="24"/>
      <c r="D55" s="24"/>
      <c r="E55" s="24"/>
      <c r="F55" s="33"/>
      <c r="G55" s="33"/>
      <c r="I55" s="5"/>
      <c r="J55" s="5"/>
      <c r="K55" s="5"/>
      <c r="L55" s="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:62" s="25" customFormat="1" x14ac:dyDescent="0.25">
      <c r="A56"/>
      <c r="B56"/>
      <c r="C56" s="24"/>
      <c r="D56" s="24"/>
      <c r="E56" s="24"/>
      <c r="F56" s="33"/>
      <c r="G56" s="33"/>
      <c r="I56" s="5"/>
      <c r="J56" s="5"/>
      <c r="K56" s="5"/>
      <c r="L56" s="5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</row>
    <row r="57" spans="1:62" s="25" customFormat="1" x14ac:dyDescent="0.25">
      <c r="A57"/>
      <c r="B57"/>
      <c r="C57" s="24"/>
      <c r="D57" s="24"/>
      <c r="E57" s="24"/>
      <c r="F57" s="33"/>
      <c r="G57" s="33"/>
      <c r="I57" s="5"/>
      <c r="J57" s="5"/>
      <c r="K57" s="5"/>
      <c r="L57" s="5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</row>
    <row r="58" spans="1:62" s="25" customFormat="1" x14ac:dyDescent="0.25">
      <c r="A58"/>
      <c r="B58"/>
      <c r="C58" s="24"/>
      <c r="D58" s="24"/>
      <c r="E58" s="24"/>
      <c r="F58" s="33"/>
      <c r="G58" s="33"/>
      <c r="I58" s="5"/>
      <c r="J58" s="5"/>
      <c r="K58" s="5"/>
      <c r="L58" s="5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</row>
    <row r="59" spans="1:62" s="25" customFormat="1" x14ac:dyDescent="0.25">
      <c r="A59"/>
      <c r="B59"/>
      <c r="C59" s="24"/>
      <c r="D59" s="24"/>
      <c r="E59" s="24"/>
      <c r="F59" s="33"/>
      <c r="G59" s="33"/>
      <c r="I59" s="5"/>
      <c r="J59" s="5"/>
      <c r="K59" s="5"/>
      <c r="L59" s="5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</row>
    <row r="60" spans="1:62" s="25" customFormat="1" x14ac:dyDescent="0.25">
      <c r="A60"/>
      <c r="B60"/>
      <c r="C60" s="24"/>
      <c r="D60" s="24"/>
      <c r="E60" s="24"/>
      <c r="F60" s="33"/>
      <c r="G60" s="33"/>
      <c r="I60" s="5"/>
      <c r="J60" s="5"/>
      <c r="K60" s="5"/>
      <c r="L60" s="5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</row>
    <row r="61" spans="1:62" s="25" customFormat="1" x14ac:dyDescent="0.25">
      <c r="A61"/>
      <c r="B61"/>
      <c r="C61" s="24"/>
      <c r="D61" s="24"/>
      <c r="E61" s="24"/>
      <c r="F61" s="33"/>
      <c r="G61" s="33"/>
      <c r="I61" s="5"/>
      <c r="J61" s="5"/>
      <c r="K61" s="5"/>
      <c r="L61" s="5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</row>
    <row r="62" spans="1:62" s="25" customFormat="1" x14ac:dyDescent="0.25">
      <c r="A62"/>
      <c r="B62" s="24"/>
      <c r="C62" s="24"/>
      <c r="D62" s="24"/>
      <c r="E62" s="24"/>
      <c r="F62" s="33"/>
      <c r="G62" s="33"/>
      <c r="I62" s="5"/>
      <c r="J62" s="5"/>
      <c r="K62" s="5"/>
      <c r="L62" s="5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</row>
    <row r="63" spans="1:62" s="25" customFormat="1" x14ac:dyDescent="0.25">
      <c r="A63"/>
      <c r="B63" s="24"/>
      <c r="C63" s="24"/>
      <c r="D63" s="24"/>
      <c r="E63" s="24"/>
      <c r="F63" s="33"/>
      <c r="G63" s="33"/>
      <c r="I63" s="5"/>
      <c r="J63" s="5"/>
      <c r="K63" s="5"/>
      <c r="L63" s="5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:62" s="25" customFormat="1" x14ac:dyDescent="0.25">
      <c r="A64"/>
      <c r="B64" s="24"/>
      <c r="C64" s="24"/>
      <c r="D64" s="24"/>
      <c r="E64" s="24"/>
      <c r="F64" s="33"/>
      <c r="G64" s="33"/>
      <c r="I64" s="5"/>
      <c r="J64" s="5"/>
      <c r="K64" s="5"/>
      <c r="L64" s="5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</row>
    <row r="65" spans="1:62" s="25" customFormat="1" x14ac:dyDescent="0.25">
      <c r="A65"/>
      <c r="B65" s="24"/>
      <c r="C65" s="24"/>
      <c r="D65" s="24"/>
      <c r="E65" s="24"/>
      <c r="F65" s="33"/>
      <c r="G65" s="33"/>
      <c r="I65" s="5"/>
      <c r="J65" s="5"/>
      <c r="K65" s="5"/>
      <c r="L65" s="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</row>
    <row r="66" spans="1:62" s="25" customFormat="1" x14ac:dyDescent="0.25">
      <c r="A66"/>
      <c r="B66" s="24"/>
      <c r="C66" s="24"/>
      <c r="D66" s="24"/>
      <c r="E66" s="24"/>
      <c r="F66" s="33"/>
      <c r="G66" s="33"/>
      <c r="I66" s="5"/>
      <c r="J66" s="5"/>
      <c r="K66" s="5"/>
      <c r="L66" s="5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</row>
    <row r="67" spans="1:62" s="25" customFormat="1" x14ac:dyDescent="0.25">
      <c r="A67"/>
      <c r="B67" s="24"/>
      <c r="C67" s="24"/>
      <c r="D67" s="24"/>
      <c r="E67" s="24"/>
      <c r="F67" s="33"/>
      <c r="G67" s="33"/>
      <c r="I67" s="5"/>
      <c r="J67" s="5"/>
      <c r="K67" s="5"/>
      <c r="L67" s="5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</row>
    <row r="68" spans="1:62" s="25" customFormat="1" x14ac:dyDescent="0.25">
      <c r="A68"/>
      <c r="B68"/>
      <c r="C68"/>
      <c r="D68"/>
      <c r="E68"/>
      <c r="F68" s="33"/>
      <c r="G68" s="33"/>
      <c r="I68" s="5"/>
      <c r="J68" s="5"/>
      <c r="K68" s="5"/>
      <c r="L68" s="5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</row>
    <row r="69" spans="1:62" s="25" customFormat="1" x14ac:dyDescent="0.25">
      <c r="A69"/>
      <c r="B69"/>
      <c r="C69"/>
      <c r="D69"/>
      <c r="E69"/>
      <c r="F69" s="33"/>
      <c r="G69" s="33"/>
      <c r="I69" s="5"/>
      <c r="J69" s="5"/>
      <c r="K69" s="5"/>
      <c r="L69" s="5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</row>
    <row r="70" spans="1:62" s="25" customFormat="1" x14ac:dyDescent="0.25">
      <c r="A70"/>
      <c r="B70"/>
      <c r="C70"/>
      <c r="D70"/>
      <c r="E70"/>
      <c r="I70" s="5"/>
      <c r="J70" s="5"/>
      <c r="K70" s="5"/>
      <c r="L70" s="5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</row>
  </sheetData>
  <mergeCells count="9">
    <mergeCell ref="B3:B4"/>
    <mergeCell ref="D2:G2"/>
    <mergeCell ref="K3:K4"/>
    <mergeCell ref="L3:L4"/>
    <mergeCell ref="I2:L2"/>
    <mergeCell ref="D3:D4"/>
    <mergeCell ref="F3:F4"/>
    <mergeCell ref="I3:I4"/>
    <mergeCell ref="G3:G4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1"/>
  <sheetViews>
    <sheetView workbookViewId="0">
      <selection sqref="A1:E1"/>
    </sheetView>
    <sheetView tabSelected="1" topLeftCell="A22" workbookViewId="1">
      <selection sqref="A1:E1"/>
    </sheetView>
  </sheetViews>
  <sheetFormatPr defaultRowHeight="15" x14ac:dyDescent="0.25"/>
  <cols>
    <col min="1" max="1" width="5.140625" customWidth="1"/>
    <col min="2" max="2" width="5.5703125" customWidth="1"/>
    <col min="3" max="3" width="46" customWidth="1"/>
    <col min="4" max="5" width="11.5703125" style="126" bestFit="1" customWidth="1"/>
  </cols>
  <sheetData>
    <row r="1" spans="1:5" ht="14.65" customHeight="1" x14ac:dyDescent="0.25">
      <c r="A1" s="246" t="s">
        <v>210</v>
      </c>
      <c r="B1" s="247"/>
      <c r="C1" s="247"/>
      <c r="D1" s="247"/>
      <c r="E1" s="247"/>
    </row>
    <row r="2" spans="1:5" ht="18.75" x14ac:dyDescent="0.25">
      <c r="A2" s="174" t="s">
        <v>348</v>
      </c>
    </row>
    <row r="3" spans="1:5" x14ac:dyDescent="0.25">
      <c r="A3" s="46" t="s">
        <v>73</v>
      </c>
      <c r="D3" s="122"/>
      <c r="E3" s="122"/>
    </row>
    <row r="4" spans="1:5" ht="28.5" customHeight="1" x14ac:dyDescent="0.25">
      <c r="B4" s="280" t="s">
        <v>99</v>
      </c>
      <c r="C4" s="280"/>
      <c r="D4" s="123" t="s">
        <v>8</v>
      </c>
      <c r="E4" s="123" t="s">
        <v>9</v>
      </c>
    </row>
    <row r="5" spans="1:5" x14ac:dyDescent="0.25">
      <c r="B5" s="281"/>
      <c r="C5" s="281"/>
      <c r="D5" s="124" t="s">
        <v>8</v>
      </c>
      <c r="E5" s="124" t="s">
        <v>9</v>
      </c>
    </row>
    <row r="6" spans="1:5" ht="14.65" customHeight="1" x14ac:dyDescent="0.25">
      <c r="A6" s="46">
        <v>2021</v>
      </c>
      <c r="B6" s="282"/>
      <c r="C6" s="282"/>
      <c r="D6" s="125"/>
      <c r="E6" s="125"/>
    </row>
    <row r="7" spans="1:5" ht="14.25" customHeight="1" x14ac:dyDescent="0.25">
      <c r="A7" t="s">
        <v>160</v>
      </c>
      <c r="B7" s="12" t="s">
        <v>11</v>
      </c>
      <c r="C7" s="12"/>
      <c r="D7" s="21">
        <f>+'Example 3 Assumptions '!N38</f>
        <v>10500000</v>
      </c>
      <c r="E7" s="21"/>
    </row>
    <row r="8" spans="1:5" ht="14.25" customHeight="1" x14ac:dyDescent="0.25">
      <c r="B8" s="12" t="s">
        <v>302</v>
      </c>
      <c r="C8" s="12"/>
      <c r="D8" s="21">
        <f>+'Example 3 Assumptions '!N39</f>
        <v>4500000</v>
      </c>
      <c r="E8" s="21"/>
    </row>
    <row r="9" spans="1:5" x14ac:dyDescent="0.25">
      <c r="B9" s="12"/>
      <c r="C9" s="12" t="s">
        <v>216</v>
      </c>
      <c r="D9" s="21"/>
      <c r="E9" s="21">
        <f>+D7+D8</f>
        <v>15000000</v>
      </c>
    </row>
    <row r="10" spans="1:5" ht="14.65" customHeight="1" x14ac:dyDescent="0.25">
      <c r="B10" s="10" t="s">
        <v>212</v>
      </c>
      <c r="C10" s="12"/>
    </row>
    <row r="11" spans="1:5" ht="14.65" customHeight="1" x14ac:dyDescent="0.25">
      <c r="B11" s="58" t="s">
        <v>330</v>
      </c>
      <c r="C11" s="12"/>
      <c r="D11" s="21"/>
      <c r="E11" s="21"/>
    </row>
    <row r="12" spans="1:5" x14ac:dyDescent="0.25">
      <c r="D12" s="21"/>
      <c r="E12" s="21"/>
    </row>
    <row r="13" spans="1:5" ht="14.25" customHeight="1" x14ac:dyDescent="0.25">
      <c r="D13" s="21"/>
      <c r="E13" s="21"/>
    </row>
    <row r="14" spans="1:5" x14ac:dyDescent="0.25">
      <c r="A14" t="s">
        <v>161</v>
      </c>
      <c r="B14" s="12" t="s">
        <v>11</v>
      </c>
      <c r="C14" s="12"/>
      <c r="D14" s="21">
        <f>ROUND(+'Ex. 3 Amortization table'!F7,0)</f>
        <v>265000</v>
      </c>
      <c r="E14" s="21"/>
    </row>
    <row r="15" spans="1:5" x14ac:dyDescent="0.25">
      <c r="B15" s="12" t="s">
        <v>216</v>
      </c>
      <c r="C15" s="12"/>
      <c r="D15" s="21">
        <f>ROUND(+'Ex. 3 Amortization table'!G7,0)</f>
        <v>1000000</v>
      </c>
      <c r="E15" s="21"/>
    </row>
    <row r="16" spans="1:5" x14ac:dyDescent="0.25">
      <c r="C16" s="12" t="str">
        <f>+B8</f>
        <v>Beneficial (residual) interest sold revenue</v>
      </c>
      <c r="D16" s="21"/>
      <c r="E16" s="21">
        <f>+D15+D14</f>
        <v>1265000</v>
      </c>
    </row>
    <row r="17" spans="1:5" x14ac:dyDescent="0.25">
      <c r="B17" s="13" t="s">
        <v>331</v>
      </c>
      <c r="C17" s="13"/>
      <c r="D17" s="21"/>
      <c r="E17" s="21"/>
    </row>
    <row r="18" spans="1:5" ht="15" customHeight="1" x14ac:dyDescent="0.25">
      <c r="B18" s="58" t="s">
        <v>332</v>
      </c>
      <c r="D18" s="21"/>
      <c r="E18" s="21"/>
    </row>
    <row r="19" spans="1:5" ht="15" customHeight="1" x14ac:dyDescent="0.25">
      <c r="B19" s="58"/>
      <c r="D19" s="21"/>
      <c r="E19" s="21"/>
    </row>
    <row r="20" spans="1:5" ht="15" customHeight="1" x14ac:dyDescent="0.25"/>
    <row r="21" spans="1:5" ht="15" customHeight="1" x14ac:dyDescent="0.25"/>
    <row r="22" spans="1:5" ht="14.25" customHeight="1" x14ac:dyDescent="0.25">
      <c r="A22" s="46">
        <v>2022</v>
      </c>
      <c r="B22" s="12"/>
      <c r="C22" s="12"/>
      <c r="D22" s="21"/>
      <c r="E22" s="21"/>
    </row>
    <row r="23" spans="1:5" ht="14.25" customHeight="1" x14ac:dyDescent="0.25">
      <c r="B23" s="12" t="s">
        <v>11</v>
      </c>
      <c r="C23" s="12"/>
      <c r="D23" s="21">
        <f>ROUND(+'Ex. 3 Amortization table'!F8,0)</f>
        <v>280150</v>
      </c>
    </row>
    <row r="24" spans="1:5" ht="13.9" customHeight="1" x14ac:dyDescent="0.25">
      <c r="B24" s="12" t="s">
        <v>216</v>
      </c>
      <c r="C24" s="12"/>
      <c r="D24" s="21">
        <f>ROUND(+'Ex. 3 Amortization table'!G8,0)</f>
        <v>1000000</v>
      </c>
      <c r="E24" s="21"/>
    </row>
    <row r="25" spans="1:5" x14ac:dyDescent="0.25">
      <c r="C25" s="12" t="str">
        <f>+B8</f>
        <v>Beneficial (residual) interest sold revenue</v>
      </c>
      <c r="D25" s="21"/>
      <c r="E25" s="21">
        <f>+D24+D23</f>
        <v>1280150</v>
      </c>
    </row>
    <row r="26" spans="1:5" x14ac:dyDescent="0.25">
      <c r="B26" s="13" t="s">
        <v>219</v>
      </c>
      <c r="C26" s="10"/>
      <c r="D26" s="21"/>
      <c r="E26" s="21"/>
    </row>
    <row r="27" spans="1:5" x14ac:dyDescent="0.25">
      <c r="B27" s="58" t="s">
        <v>220</v>
      </c>
      <c r="D27"/>
      <c r="E27"/>
    </row>
    <row r="28" spans="1:5" x14ac:dyDescent="0.25">
      <c r="C28" s="12"/>
      <c r="D28" s="21"/>
      <c r="E28" s="21"/>
    </row>
    <row r="29" spans="1:5" x14ac:dyDescent="0.25">
      <c r="D29"/>
      <c r="E29"/>
    </row>
    <row r="30" spans="1:5" x14ac:dyDescent="0.25">
      <c r="A30" s="46">
        <v>2023</v>
      </c>
      <c r="B30" s="12"/>
      <c r="C30" s="12"/>
      <c r="D30" s="21"/>
      <c r="E30"/>
    </row>
    <row r="31" spans="1:5" x14ac:dyDescent="0.25">
      <c r="B31" s="12" t="s">
        <v>11</v>
      </c>
      <c r="C31" s="12"/>
      <c r="D31" s="21">
        <f>ROUND(+'Ex. 3 Amortization table'!F9,0)</f>
        <v>295450</v>
      </c>
      <c r="E31"/>
    </row>
    <row r="32" spans="1:5" x14ac:dyDescent="0.25">
      <c r="B32" s="12" t="s">
        <v>216</v>
      </c>
      <c r="C32" s="12"/>
      <c r="D32" s="21">
        <f>ROUND(+'Ex. 3 Amortization table'!G9,0)</f>
        <v>1000000</v>
      </c>
      <c r="E32" s="21"/>
    </row>
    <row r="33" spans="1:5" x14ac:dyDescent="0.25">
      <c r="C33" s="12" t="str">
        <f>+B8</f>
        <v>Beneficial (residual) interest sold revenue</v>
      </c>
      <c r="D33" s="21"/>
      <c r="E33" s="21">
        <f>+D32+D31</f>
        <v>1295450</v>
      </c>
    </row>
    <row r="34" spans="1:5" x14ac:dyDescent="0.25">
      <c r="B34" s="10" t="s">
        <v>219</v>
      </c>
      <c r="C34" s="10"/>
      <c r="D34" s="21"/>
      <c r="E34" s="21"/>
    </row>
    <row r="35" spans="1:5" x14ac:dyDescent="0.25">
      <c r="B35" s="58" t="s">
        <v>217</v>
      </c>
      <c r="D35" s="21"/>
      <c r="E35" s="21"/>
    </row>
    <row r="36" spans="1:5" x14ac:dyDescent="0.25">
      <c r="D36"/>
      <c r="E36" s="21"/>
    </row>
    <row r="37" spans="1:5" x14ac:dyDescent="0.25">
      <c r="B37" s="12"/>
      <c r="D37" s="21"/>
      <c r="E37" s="21"/>
    </row>
    <row r="38" spans="1:5" ht="14.65" customHeight="1" x14ac:dyDescent="0.25">
      <c r="A38" s="46">
        <v>2024</v>
      </c>
      <c r="B38" s="12"/>
      <c r="C38" s="12"/>
      <c r="D38" s="21"/>
      <c r="E38"/>
    </row>
    <row r="39" spans="1:5" ht="14.65" customHeight="1" x14ac:dyDescent="0.25">
      <c r="B39" s="12" t="s">
        <v>11</v>
      </c>
      <c r="C39" s="12"/>
      <c r="D39" s="21">
        <f>ROUND(+'Ex. 3 Amortization table'!F10,0)</f>
        <v>310900</v>
      </c>
      <c r="E39"/>
    </row>
    <row r="40" spans="1:5" ht="14.65" customHeight="1" x14ac:dyDescent="0.25">
      <c r="B40" s="12" t="s">
        <v>216</v>
      </c>
      <c r="C40" s="12"/>
      <c r="D40" s="21">
        <f>ROUND(+'Ex. 3 Amortization table'!G17,0)</f>
        <v>1000000</v>
      </c>
      <c r="E40" s="21"/>
    </row>
    <row r="41" spans="1:5" ht="14.25" customHeight="1" x14ac:dyDescent="0.25">
      <c r="C41" s="12" t="str">
        <f>+C33</f>
        <v>Beneficial (residual) interest sold revenue</v>
      </c>
      <c r="D41" s="21"/>
      <c r="E41" s="21">
        <f>+D40+D39-651500</f>
        <v>659400</v>
      </c>
    </row>
    <row r="42" spans="1:5" ht="14.25" customHeight="1" x14ac:dyDescent="0.25">
      <c r="C42" s="12" t="s">
        <v>360</v>
      </c>
      <c r="D42" s="21"/>
      <c r="E42" s="21">
        <v>651500</v>
      </c>
    </row>
    <row r="43" spans="1:5" ht="14.65" customHeight="1" x14ac:dyDescent="0.25">
      <c r="B43" s="10" t="s">
        <v>219</v>
      </c>
      <c r="C43" s="10"/>
      <c r="D43" s="21"/>
      <c r="E43" s="21"/>
    </row>
    <row r="44" spans="1:5" ht="14.65" customHeight="1" x14ac:dyDescent="0.25">
      <c r="B44" s="58" t="s">
        <v>217</v>
      </c>
      <c r="D44" s="21"/>
      <c r="E44" s="21"/>
    </row>
    <row r="45" spans="1:5" ht="14.65" customHeight="1" x14ac:dyDescent="0.25">
      <c r="C45" s="12"/>
      <c r="D45" s="21"/>
      <c r="E45" s="21"/>
    </row>
    <row r="46" spans="1:5" ht="14.65" customHeight="1" x14ac:dyDescent="0.25">
      <c r="C46" s="12"/>
      <c r="D46" s="21"/>
      <c r="E46" s="21"/>
    </row>
    <row r="47" spans="1:5" ht="14.65" customHeight="1" x14ac:dyDescent="0.25">
      <c r="A47" s="46">
        <v>2025</v>
      </c>
      <c r="B47" s="12"/>
      <c r="C47" s="12"/>
      <c r="D47" s="21"/>
      <c r="E47"/>
    </row>
    <row r="48" spans="1:5" ht="14.65" customHeight="1" x14ac:dyDescent="0.25">
      <c r="B48" s="12" t="s">
        <v>11</v>
      </c>
      <c r="C48" s="12"/>
      <c r="D48" s="21">
        <f>+'Ex. 3 Amortization table'!F11</f>
        <v>326500</v>
      </c>
      <c r="E48"/>
    </row>
    <row r="49" spans="1:5" ht="14.65" customHeight="1" x14ac:dyDescent="0.25">
      <c r="B49" s="12" t="s">
        <v>216</v>
      </c>
      <c r="C49" s="12"/>
      <c r="D49" s="21">
        <f>+'Ex. 3 Amortization table'!G17</f>
        <v>1000000</v>
      </c>
      <c r="E49" s="21"/>
    </row>
    <row r="50" spans="1:5" ht="14.65" customHeight="1" x14ac:dyDescent="0.25">
      <c r="C50" s="12" t="s">
        <v>75</v>
      </c>
      <c r="D50" s="21"/>
      <c r="E50" s="21">
        <f>+D49+D48</f>
        <v>1326500</v>
      </c>
    </row>
    <row r="51" spans="1:5" ht="14.65" customHeight="1" x14ac:dyDescent="0.25">
      <c r="B51" s="10" t="s">
        <v>219</v>
      </c>
      <c r="C51" s="10"/>
      <c r="D51" s="21"/>
      <c r="E51" s="21"/>
    </row>
    <row r="52" spans="1:5" ht="14.65" customHeight="1" x14ac:dyDescent="0.25">
      <c r="B52" s="58" t="s">
        <v>217</v>
      </c>
      <c r="D52" s="21"/>
      <c r="E52" s="21"/>
    </row>
    <row r="53" spans="1:5" ht="14.65" customHeight="1" x14ac:dyDescent="0.25">
      <c r="C53" s="12"/>
      <c r="D53" s="21"/>
      <c r="E53" s="21"/>
    </row>
    <row r="54" spans="1:5" ht="14.65" customHeight="1" x14ac:dyDescent="0.25">
      <c r="C54" s="12"/>
      <c r="D54" s="21"/>
      <c r="E54" s="21"/>
    </row>
    <row r="55" spans="1:5" ht="14.65" customHeight="1" x14ac:dyDescent="0.25">
      <c r="C55" s="12"/>
      <c r="D55" s="21"/>
      <c r="E55" s="21"/>
    </row>
    <row r="56" spans="1:5" ht="14.65" customHeight="1" x14ac:dyDescent="0.25">
      <c r="A56" s="127" t="s">
        <v>361</v>
      </c>
      <c r="B56" s="127"/>
      <c r="C56" s="127"/>
      <c r="D56" s="21"/>
      <c r="E56"/>
    </row>
    <row r="57" spans="1:5" ht="14.65" customHeight="1" x14ac:dyDescent="0.25">
      <c r="D57" s="21"/>
      <c r="E57"/>
    </row>
    <row r="58" spans="1:5" ht="14.65" customHeight="1" x14ac:dyDescent="0.25">
      <c r="A58" s="46">
        <v>2033</v>
      </c>
      <c r="D58"/>
      <c r="E58"/>
    </row>
    <row r="59" spans="1:5" ht="14.65" customHeight="1" x14ac:dyDescent="0.25">
      <c r="B59" s="12" t="s">
        <v>11</v>
      </c>
      <c r="C59" s="12"/>
      <c r="D59" s="21">
        <f>+'Ex. 3 Amortization table'!F19</f>
        <v>457000</v>
      </c>
      <c r="E59"/>
    </row>
    <row r="60" spans="1:5" ht="14.65" customHeight="1" x14ac:dyDescent="0.25">
      <c r="B60" s="12" t="s">
        <v>216</v>
      </c>
      <c r="C60" s="12"/>
      <c r="D60" s="21">
        <f>+'Ex. 3 Amortization table'!G19</f>
        <v>1000000</v>
      </c>
      <c r="E60"/>
    </row>
    <row r="61" spans="1:5" x14ac:dyDescent="0.25">
      <c r="C61" s="12" t="s">
        <v>75</v>
      </c>
      <c r="D61" s="21"/>
      <c r="E61" s="21">
        <f>+D59+D60</f>
        <v>1457000</v>
      </c>
    </row>
    <row r="62" spans="1:5" x14ac:dyDescent="0.25">
      <c r="B62" s="10" t="s">
        <v>219</v>
      </c>
      <c r="C62" s="12"/>
      <c r="D62"/>
      <c r="E62" s="42"/>
    </row>
    <row r="63" spans="1:5" ht="14.65" customHeight="1" x14ac:dyDescent="0.25">
      <c r="B63" s="58" t="s">
        <v>333</v>
      </c>
      <c r="C63" s="10"/>
      <c r="D63" s="21"/>
      <c r="E63" s="21"/>
    </row>
    <row r="64" spans="1:5" ht="14.65" customHeight="1" x14ac:dyDescent="0.25">
      <c r="B64" s="58"/>
      <c r="D64"/>
      <c r="E64"/>
    </row>
    <row r="65" spans="1:5" ht="14.65" customHeight="1" x14ac:dyDescent="0.25">
      <c r="D65"/>
      <c r="E65" s="21"/>
    </row>
    <row r="66" spans="1:5" x14ac:dyDescent="0.25">
      <c r="A66" s="46">
        <v>2034</v>
      </c>
      <c r="D66" s="21"/>
      <c r="E66" s="21"/>
    </row>
    <row r="67" spans="1:5" x14ac:dyDescent="0.25">
      <c r="B67" t="s">
        <v>11</v>
      </c>
      <c r="D67" s="21">
        <f>+'Ex. 3 Amortization table'!F20</f>
        <v>2463180.792712165</v>
      </c>
      <c r="E67" s="21"/>
    </row>
    <row r="68" spans="1:5" ht="14.65" customHeight="1" x14ac:dyDescent="0.25">
      <c r="B68" s="11" t="s">
        <v>25</v>
      </c>
      <c r="D68" s="21">
        <f>+'Ex. 3 Amortization table'!G20</f>
        <v>2000000</v>
      </c>
      <c r="E68" s="21"/>
    </row>
    <row r="69" spans="1:5" ht="14.65" customHeight="1" x14ac:dyDescent="0.25">
      <c r="C69" s="12" t="s">
        <v>75</v>
      </c>
      <c r="D69" s="21"/>
      <c r="E69" s="21">
        <f>+D67+D68</f>
        <v>4463180.792712165</v>
      </c>
    </row>
    <row r="70" spans="1:5" x14ac:dyDescent="0.25">
      <c r="B70" s="58" t="s">
        <v>96</v>
      </c>
      <c r="D70" s="21"/>
      <c r="E70" s="21"/>
    </row>
    <row r="71" spans="1:5" x14ac:dyDescent="0.25">
      <c r="B71" s="58" t="s">
        <v>97</v>
      </c>
      <c r="C71" s="58"/>
      <c r="D71" s="21"/>
      <c r="E71" s="21"/>
    </row>
    <row r="72" spans="1:5" x14ac:dyDescent="0.25">
      <c r="C72" s="58"/>
      <c r="D72" s="21"/>
      <c r="E72" s="21"/>
    </row>
    <row r="73" spans="1:5" x14ac:dyDescent="0.25">
      <c r="D73"/>
      <c r="E73"/>
    </row>
    <row r="74" spans="1:5" s="25" customFormat="1" x14ac:dyDescent="0.25">
      <c r="A74" s="46">
        <v>2035</v>
      </c>
      <c r="B74"/>
      <c r="C74"/>
      <c r="D74" s="21"/>
      <c r="E74" s="21"/>
    </row>
    <row r="75" spans="1:5" s="15" customFormat="1" x14ac:dyDescent="0.25">
      <c r="A75"/>
      <c r="B75" t="s">
        <v>11</v>
      </c>
      <c r="C75"/>
      <c r="D75" s="21">
        <f>+'Ex. 3 Amortization table'!F21</f>
        <v>1741290</v>
      </c>
      <c r="E75" s="21"/>
    </row>
    <row r="76" spans="1:5" x14ac:dyDescent="0.25">
      <c r="C76" t="s">
        <v>218</v>
      </c>
      <c r="D76" s="21"/>
      <c r="E76" s="21">
        <f>+D75</f>
        <v>1741290</v>
      </c>
    </row>
    <row r="77" spans="1:5" x14ac:dyDescent="0.25">
      <c r="B77" s="58" t="s">
        <v>100</v>
      </c>
      <c r="D77" s="21"/>
      <c r="E77" s="21"/>
    </row>
    <row r="78" spans="1:5" x14ac:dyDescent="0.25">
      <c r="D78"/>
      <c r="E78"/>
    </row>
    <row r="79" spans="1:5" x14ac:dyDescent="0.25">
      <c r="D79"/>
      <c r="E79"/>
    </row>
    <row r="80" spans="1:5" x14ac:dyDescent="0.25">
      <c r="D80"/>
      <c r="E80"/>
    </row>
    <row r="81" spans="1:5" ht="15.75" thickBot="1" x14ac:dyDescent="0.3">
      <c r="A81" t="s">
        <v>367</v>
      </c>
      <c r="D81" s="296">
        <f>SUM(D6:D80)-SUM(E6:E80)</f>
        <v>0</v>
      </c>
      <c r="E81"/>
    </row>
    <row r="82" spans="1:5" ht="15.75" thickTop="1" x14ac:dyDescent="0.25">
      <c r="D82"/>
      <c r="E82"/>
    </row>
    <row r="83" spans="1:5" x14ac:dyDescent="0.25">
      <c r="D83"/>
      <c r="E83"/>
    </row>
    <row r="84" spans="1:5" x14ac:dyDescent="0.25">
      <c r="D84"/>
      <c r="E84"/>
    </row>
    <row r="85" spans="1:5" x14ac:dyDescent="0.25">
      <c r="D85" s="21"/>
      <c r="E85" s="21"/>
    </row>
    <row r="86" spans="1:5" x14ac:dyDescent="0.25">
      <c r="D86" s="21"/>
      <c r="E86" s="21"/>
    </row>
    <row r="87" spans="1:5" x14ac:dyDescent="0.25">
      <c r="D87"/>
      <c r="E87"/>
    </row>
    <row r="88" spans="1:5" x14ac:dyDescent="0.25">
      <c r="D88"/>
      <c r="E88"/>
    </row>
    <row r="89" spans="1:5" x14ac:dyDescent="0.25">
      <c r="D89"/>
      <c r="E89"/>
    </row>
    <row r="90" spans="1:5" x14ac:dyDescent="0.25">
      <c r="D90"/>
      <c r="E90"/>
    </row>
    <row r="91" spans="1:5" x14ac:dyDescent="0.25">
      <c r="D91" s="21"/>
      <c r="E91" s="21"/>
    </row>
    <row r="92" spans="1:5" x14ac:dyDescent="0.25">
      <c r="D92"/>
      <c r="E92"/>
    </row>
    <row r="93" spans="1:5" x14ac:dyDescent="0.25">
      <c r="D93"/>
      <c r="E93"/>
    </row>
    <row r="94" spans="1:5" x14ac:dyDescent="0.25">
      <c r="D94" s="21"/>
      <c r="E94" s="21"/>
    </row>
    <row r="95" spans="1:5" x14ac:dyDescent="0.25">
      <c r="D95" s="21"/>
      <c r="E95" s="21"/>
    </row>
    <row r="96" spans="1:5" x14ac:dyDescent="0.25">
      <c r="D96" s="21"/>
      <c r="E96" s="21"/>
    </row>
    <row r="97" spans="4:7" x14ac:dyDescent="0.25">
      <c r="D97" s="21"/>
      <c r="E97" s="21"/>
    </row>
    <row r="98" spans="4:7" x14ac:dyDescent="0.25">
      <c r="D98" s="21"/>
      <c r="E98" s="21"/>
    </row>
    <row r="99" spans="4:7" x14ac:dyDescent="0.25">
      <c r="D99" s="21"/>
      <c r="E99" s="21"/>
    </row>
    <row r="100" spans="4:7" x14ac:dyDescent="0.25">
      <c r="D100" s="122"/>
      <c r="E100" s="122"/>
    </row>
    <row r="101" spans="4:7" x14ac:dyDescent="0.25">
      <c r="D101" s="122"/>
      <c r="E101" s="122"/>
    </row>
    <row r="102" spans="4:7" x14ac:dyDescent="0.25">
      <c r="D102" s="122"/>
      <c r="E102" s="122"/>
    </row>
    <row r="103" spans="4:7" x14ac:dyDescent="0.25">
      <c r="D103" s="122"/>
      <c r="E103" s="122"/>
    </row>
    <row r="104" spans="4:7" x14ac:dyDescent="0.25">
      <c r="D104" s="122"/>
      <c r="E104" s="122"/>
      <c r="G104" s="46"/>
    </row>
    <row r="105" spans="4:7" x14ac:dyDescent="0.25">
      <c r="D105" s="122"/>
      <c r="E105" s="122"/>
    </row>
    <row r="106" spans="4:7" x14ac:dyDescent="0.25">
      <c r="D106" s="122"/>
      <c r="E106" s="122"/>
    </row>
    <row r="107" spans="4:7" x14ac:dyDescent="0.25">
      <c r="D107" s="122"/>
      <c r="E107" s="122"/>
    </row>
    <row r="108" spans="4:7" x14ac:dyDescent="0.25">
      <c r="D108" s="122"/>
      <c r="E108" s="122"/>
    </row>
    <row r="109" spans="4:7" x14ac:dyDescent="0.25">
      <c r="D109"/>
      <c r="E109"/>
    </row>
    <row r="110" spans="4:7" x14ac:dyDescent="0.25">
      <c r="D110"/>
      <c r="E110"/>
    </row>
    <row r="111" spans="4:7" x14ac:dyDescent="0.25">
      <c r="D111" s="122"/>
      <c r="E111" s="122"/>
    </row>
    <row r="112" spans="4:7" x14ac:dyDescent="0.25">
      <c r="D112" s="122"/>
      <c r="E112" s="122"/>
    </row>
    <row r="113" spans="4:5" x14ac:dyDescent="0.25">
      <c r="D113" s="122"/>
      <c r="E113" s="122"/>
    </row>
    <row r="114" spans="4:5" x14ac:dyDescent="0.25">
      <c r="D114" s="122"/>
      <c r="E114" s="122"/>
    </row>
    <row r="115" spans="4:5" x14ac:dyDescent="0.25">
      <c r="D115" s="122"/>
      <c r="E115" s="122"/>
    </row>
    <row r="116" spans="4:5" x14ac:dyDescent="0.25">
      <c r="D116" s="122"/>
      <c r="E116" s="122"/>
    </row>
    <row r="117" spans="4:5" x14ac:dyDescent="0.25">
      <c r="D117" s="122"/>
      <c r="E117" s="122"/>
    </row>
    <row r="118" spans="4:5" x14ac:dyDescent="0.25">
      <c r="D118" s="122"/>
      <c r="E118" s="122"/>
    </row>
    <row r="119" spans="4:5" x14ac:dyDescent="0.25">
      <c r="D119" s="122"/>
      <c r="E119" s="122"/>
    </row>
    <row r="122" spans="4:5" ht="14.25" customHeight="1" x14ac:dyDescent="0.25"/>
    <row r="127" spans="4:5" ht="14.25" customHeight="1" x14ac:dyDescent="0.25"/>
    <row r="130" ht="14.25" customHeight="1" x14ac:dyDescent="0.25"/>
    <row r="131" ht="14.25" customHeight="1" x14ac:dyDescent="0.25"/>
  </sheetData>
  <mergeCells count="4">
    <mergeCell ref="A1:E1"/>
    <mergeCell ref="B4:C4"/>
    <mergeCell ref="B5:C5"/>
    <mergeCell ref="B6:C6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78"/>
  <sheetViews>
    <sheetView workbookViewId="0">
      <selection sqref="A1:O1"/>
    </sheetView>
    <sheetView workbookViewId="1">
      <selection sqref="A1:O1"/>
    </sheetView>
  </sheetViews>
  <sheetFormatPr defaultColWidth="9" defaultRowHeight="15" x14ac:dyDescent="0.25"/>
  <cols>
    <col min="1" max="2" width="5.42578125" customWidth="1"/>
    <col min="3" max="3" width="42.42578125" customWidth="1"/>
    <col min="4" max="4" width="11.85546875" style="106" customWidth="1"/>
    <col min="5" max="5" width="12.42578125" style="106" customWidth="1"/>
    <col min="6" max="6" width="3.85546875" customWidth="1"/>
    <col min="7" max="7" width="5.7109375" customWidth="1"/>
    <col min="8" max="8" width="50.28515625" customWidth="1"/>
    <col min="9" max="9" width="12.5703125" style="129" customWidth="1"/>
    <col min="10" max="10" width="11.85546875" style="129" customWidth="1"/>
    <col min="11" max="11" width="4.28515625" customWidth="1"/>
    <col min="12" max="12" width="5.5703125" customWidth="1"/>
    <col min="13" max="13" width="45.7109375" customWidth="1"/>
    <col min="14" max="14" width="14.140625" style="106" customWidth="1"/>
    <col min="15" max="15" width="12" style="106" customWidth="1"/>
  </cols>
  <sheetData>
    <row r="1" spans="1:15" x14ac:dyDescent="0.25">
      <c r="A1" s="246" t="s">
        <v>211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14.65" customHeight="1" x14ac:dyDescent="0.25">
      <c r="A2" s="176" t="s">
        <v>389</v>
      </c>
      <c r="B2" s="175"/>
      <c r="C2" s="175"/>
      <c r="D2" s="174" t="s">
        <v>348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spans="1:15" x14ac:dyDescent="0.25">
      <c r="A3" s="46"/>
    </row>
    <row r="4" spans="1:15" x14ac:dyDescent="0.25">
      <c r="D4" s="16"/>
      <c r="E4" s="16"/>
      <c r="I4" s="122"/>
      <c r="J4" s="122"/>
      <c r="N4" s="16"/>
      <c r="O4" s="16"/>
    </row>
    <row r="5" spans="1:15" ht="14.25" customHeight="1" x14ac:dyDescent="0.25">
      <c r="A5" s="258" t="s">
        <v>10</v>
      </c>
      <c r="B5" s="259"/>
      <c r="C5" s="259"/>
      <c r="D5" s="259"/>
      <c r="E5" s="260"/>
      <c r="G5" s="258" t="s">
        <v>13</v>
      </c>
      <c r="H5" s="259"/>
      <c r="I5" s="259"/>
      <c r="J5" s="260"/>
      <c r="L5" s="258" t="s">
        <v>324</v>
      </c>
      <c r="M5" s="259"/>
      <c r="N5" s="259" t="s">
        <v>8</v>
      </c>
      <c r="O5" s="260" t="s">
        <v>9</v>
      </c>
    </row>
    <row r="6" spans="1:15" x14ac:dyDescent="0.25">
      <c r="A6" s="46">
        <v>2021</v>
      </c>
      <c r="B6" s="249"/>
      <c r="C6" s="249"/>
      <c r="D6" s="35" t="s">
        <v>8</v>
      </c>
      <c r="E6" s="35" t="s">
        <v>9</v>
      </c>
      <c r="G6" s="46"/>
      <c r="H6" s="9"/>
      <c r="I6" s="35" t="s">
        <v>8</v>
      </c>
      <c r="J6" s="35" t="s">
        <v>9</v>
      </c>
      <c r="L6" s="46"/>
      <c r="M6" s="9"/>
      <c r="N6" s="35" t="s">
        <v>8</v>
      </c>
      <c r="O6" s="35" t="s">
        <v>9</v>
      </c>
    </row>
    <row r="7" spans="1:15" ht="14.65" customHeight="1" x14ac:dyDescent="0.25">
      <c r="D7"/>
      <c r="E7"/>
      <c r="I7"/>
      <c r="J7"/>
      <c r="N7"/>
      <c r="O7"/>
    </row>
    <row r="8" spans="1:15" ht="14.25" customHeight="1" x14ac:dyDescent="0.25">
      <c r="A8" t="s">
        <v>160</v>
      </c>
      <c r="B8" t="s">
        <v>11</v>
      </c>
      <c r="D8" s="21">
        <f>+'Example 3 Assumptions '!N38</f>
        <v>10500000</v>
      </c>
      <c r="E8" s="126"/>
      <c r="G8" s="48" t="str">
        <f>+C11</f>
        <v>Other financing source</v>
      </c>
      <c r="I8" s="125">
        <f>+E11</f>
        <v>12000000</v>
      </c>
      <c r="J8" s="125"/>
      <c r="L8" s="48" t="str">
        <f>+B8</f>
        <v>Cash</v>
      </c>
      <c r="N8" s="125">
        <f>+D8</f>
        <v>10500000</v>
      </c>
      <c r="O8" s="125"/>
    </row>
    <row r="9" spans="1:15" ht="14.65" customHeight="1" x14ac:dyDescent="0.25">
      <c r="B9" t="s">
        <v>104</v>
      </c>
      <c r="D9" s="21">
        <f>-'Example 3 Assumptions '!N37</f>
        <v>1250000</v>
      </c>
      <c r="E9" s="126"/>
      <c r="G9" s="11"/>
      <c r="H9" t="s">
        <v>49</v>
      </c>
      <c r="I9" s="125"/>
      <c r="J9" s="125">
        <f>+I8</f>
        <v>12000000</v>
      </c>
      <c r="L9" s="11" t="str">
        <f t="shared" ref="L9:L10" si="0">+B9</f>
        <v>Restricted cash - debt service reserve</v>
      </c>
      <c r="N9" s="125">
        <f>+D9</f>
        <v>1250000</v>
      </c>
      <c r="O9" s="125"/>
    </row>
    <row r="10" spans="1:15" ht="14.65" customHeight="1" x14ac:dyDescent="0.25">
      <c r="B10" s="12" t="s">
        <v>101</v>
      </c>
      <c r="C10" s="12"/>
      <c r="D10" s="21">
        <f>-'Example 3 Assumptions '!N36</f>
        <v>250000</v>
      </c>
      <c r="E10" s="21"/>
      <c r="G10" s="10" t="str">
        <f>+B12</f>
        <v>[To record issuance of bonds payable and funding of</v>
      </c>
      <c r="H10" s="11"/>
      <c r="I10" s="125"/>
      <c r="J10" s="125"/>
      <c r="L10" s="11" t="str">
        <f t="shared" si="0"/>
        <v>Bond issuance costs</v>
      </c>
      <c r="M10" s="11"/>
      <c r="N10" s="125">
        <f>+D10</f>
        <v>250000</v>
      </c>
      <c r="O10" s="125"/>
    </row>
    <row r="11" spans="1:15" ht="14.65" customHeight="1" x14ac:dyDescent="0.25">
      <c r="B11" s="11"/>
      <c r="C11" s="177" t="s">
        <v>349</v>
      </c>
      <c r="D11" s="21"/>
      <c r="E11" s="21">
        <f>SUM(D8:D10)</f>
        <v>12000000</v>
      </c>
      <c r="G11" s="10" t="str">
        <f>+B13</f>
        <v>debt service reserve]</v>
      </c>
      <c r="H11" s="12"/>
      <c r="I11" s="125"/>
      <c r="J11" s="125"/>
      <c r="L11" s="10"/>
      <c r="M11" s="12" t="str">
        <f>+H9</f>
        <v>Bonds payable</v>
      </c>
      <c r="N11" s="125"/>
      <c r="O11" s="125">
        <f>+J9</f>
        <v>12000000</v>
      </c>
    </row>
    <row r="12" spans="1:15" ht="14.65" customHeight="1" x14ac:dyDescent="0.25">
      <c r="B12" s="13" t="s">
        <v>102</v>
      </c>
      <c r="C12" s="13"/>
      <c r="D12" s="126"/>
      <c r="E12" s="126"/>
      <c r="G12" s="173"/>
      <c r="I12" s="125"/>
      <c r="J12" s="125"/>
      <c r="L12" s="13" t="s">
        <v>102</v>
      </c>
      <c r="N12" s="125"/>
      <c r="O12" s="125"/>
    </row>
    <row r="13" spans="1:15" ht="14.65" customHeight="1" x14ac:dyDescent="0.25">
      <c r="B13" s="13" t="s">
        <v>351</v>
      </c>
      <c r="C13" s="13"/>
      <c r="D13" s="21"/>
      <c r="E13" s="21"/>
      <c r="G13" s="173"/>
      <c r="H13" s="12"/>
      <c r="I13" s="21"/>
      <c r="L13" s="13" t="s">
        <v>351</v>
      </c>
      <c r="M13" s="12"/>
      <c r="N13" s="21"/>
      <c r="O13" s="129"/>
    </row>
    <row r="14" spans="1:15" ht="14.65" customHeight="1" x14ac:dyDescent="0.25">
      <c r="B14" s="13"/>
      <c r="C14" s="13"/>
      <c r="D14" s="21"/>
      <c r="E14" s="21"/>
      <c r="G14" s="173"/>
      <c r="I14"/>
      <c r="J14"/>
      <c r="L14" s="173"/>
      <c r="N14"/>
      <c r="O14"/>
    </row>
    <row r="15" spans="1:15" ht="14.65" customHeight="1" x14ac:dyDescent="0.25">
      <c r="B15" s="12"/>
      <c r="C15" s="12"/>
      <c r="D15" s="21"/>
      <c r="E15" s="21"/>
      <c r="G15" s="173"/>
      <c r="H15" s="12"/>
      <c r="I15" s="21"/>
      <c r="L15" s="173"/>
      <c r="M15" s="12"/>
      <c r="N15" s="21"/>
      <c r="O15" s="129"/>
    </row>
    <row r="16" spans="1:15" ht="14.65" customHeight="1" x14ac:dyDescent="0.25">
      <c r="A16" t="s">
        <v>161</v>
      </c>
      <c r="B16" s="12" t="s">
        <v>249</v>
      </c>
      <c r="C16" s="12"/>
      <c r="D16" s="126"/>
      <c r="E16" s="21"/>
      <c r="H16" s="12" t="s">
        <v>350</v>
      </c>
      <c r="I16" s="21"/>
      <c r="J16" s="21"/>
      <c r="L16" t="str">
        <f t="shared" ref="L16:M22" si="1">B16</f>
        <v>Deferred outflows of resources - purchase of</v>
      </c>
      <c r="M16" s="12"/>
      <c r="N16" s="21"/>
      <c r="O16" s="21"/>
    </row>
    <row r="17" spans="1:16" ht="14.65" customHeight="1" x14ac:dyDescent="0.25">
      <c r="B17" t="s">
        <v>251</v>
      </c>
      <c r="D17" s="21">
        <f>+'Example 3 Assumptions '!N40</f>
        <v>15000000</v>
      </c>
      <c r="E17" s="126"/>
      <c r="G17" s="13"/>
      <c r="H17" s="13"/>
      <c r="I17" s="21"/>
      <c r="J17" s="21"/>
      <c r="L17" s="12" t="str">
        <f t="shared" si="1"/>
        <v xml:space="preserve">   future revenues</v>
      </c>
      <c r="M17" s="13"/>
      <c r="N17" s="21">
        <f>+D17</f>
        <v>15000000</v>
      </c>
      <c r="O17" s="21"/>
    </row>
    <row r="18" spans="1:16" ht="14.65" customHeight="1" x14ac:dyDescent="0.25">
      <c r="C18" t="s">
        <v>369</v>
      </c>
      <c r="D18" s="21"/>
      <c r="E18" s="126">
        <f>+'Example 3 Assumptions '!N39</f>
        <v>4500000</v>
      </c>
      <c r="G18" s="13"/>
      <c r="H18" s="13"/>
      <c r="I18" s="21"/>
      <c r="J18" s="21"/>
      <c r="L18" s="13"/>
      <c r="M18" s="298" t="str">
        <f>+C18</f>
        <v>County's residual interest in sold revenues</v>
      </c>
      <c r="N18" s="21"/>
      <c r="O18" s="21">
        <f>+E18</f>
        <v>4500000</v>
      </c>
    </row>
    <row r="19" spans="1:16" ht="14.65" customHeight="1" x14ac:dyDescent="0.25">
      <c r="B19" s="11"/>
      <c r="C19" s="12" t="s">
        <v>11</v>
      </c>
      <c r="D19" s="21"/>
      <c r="E19" s="21">
        <f>+'Example 3 Assumptions '!N38</f>
        <v>10500000</v>
      </c>
      <c r="G19" s="13"/>
      <c r="H19" s="13"/>
      <c r="I19" s="21"/>
      <c r="J19" s="21"/>
      <c r="L19" s="13"/>
      <c r="M19" s="298" t="str">
        <f t="shared" si="1"/>
        <v>Cash</v>
      </c>
      <c r="N19" s="21"/>
      <c r="O19" s="21">
        <f>+E19</f>
        <v>10500000</v>
      </c>
    </row>
    <row r="20" spans="1:16" ht="14.65" customHeight="1" x14ac:dyDescent="0.25">
      <c r="B20" s="13" t="s">
        <v>221</v>
      </c>
      <c r="C20" s="13"/>
      <c r="D20" s="21"/>
      <c r="E20" s="21"/>
      <c r="G20" s="13"/>
      <c r="H20" s="13"/>
      <c r="I20" s="21"/>
      <c r="J20" s="21"/>
      <c r="L20" s="13" t="str">
        <f t="shared" si="1"/>
        <v>[To record purchase of 15 years of state aid (deferred</v>
      </c>
      <c r="M20" s="13"/>
      <c r="N20" s="21"/>
      <c r="O20" s="21"/>
    </row>
    <row r="21" spans="1:16" x14ac:dyDescent="0.25">
      <c r="B21" s="13" t="s">
        <v>222</v>
      </c>
      <c r="C21" s="13"/>
      <c r="D21" s="21"/>
      <c r="E21" s="21"/>
      <c r="G21" s="173"/>
      <c r="H21" s="12"/>
      <c r="I21" s="21"/>
      <c r="J21" s="21"/>
      <c r="L21" s="13" t="str">
        <f t="shared" si="1"/>
        <v>outflows of resources) from County of Example in</v>
      </c>
      <c r="M21" s="12"/>
      <c r="N21" s="21"/>
      <c r="O21" s="21"/>
    </row>
    <row r="22" spans="1:16" x14ac:dyDescent="0.25">
      <c r="B22" s="13" t="s">
        <v>329</v>
      </c>
      <c r="C22" s="13"/>
      <c r="D22" s="21"/>
      <c r="E22" s="21"/>
      <c r="G22" s="173"/>
      <c r="H22" s="12"/>
      <c r="I22" s="21"/>
      <c r="J22" s="21"/>
      <c r="L22" s="13" t="str">
        <f t="shared" si="1"/>
        <v>exchange for cash and l residual interest]</v>
      </c>
      <c r="M22" s="12"/>
      <c r="N22" s="21"/>
      <c r="O22" s="21"/>
    </row>
    <row r="23" spans="1:16" x14ac:dyDescent="0.25">
      <c r="D23" s="21"/>
      <c r="E23" s="21"/>
      <c r="I23" s="122"/>
      <c r="J23" s="122"/>
      <c r="N23" s="122"/>
      <c r="O23" s="122"/>
    </row>
    <row r="24" spans="1:16" x14ac:dyDescent="0.25">
      <c r="D24" s="182"/>
      <c r="E24" s="182"/>
      <c r="G24" s="173"/>
      <c r="H24" s="12"/>
      <c r="I24" s="21"/>
      <c r="J24" s="21"/>
      <c r="L24" s="173"/>
      <c r="M24" s="12"/>
      <c r="N24" s="21"/>
      <c r="O24" s="21"/>
      <c r="P24" s="14"/>
    </row>
    <row r="25" spans="1:16" x14ac:dyDescent="0.25">
      <c r="D25" s="126"/>
      <c r="E25" s="126"/>
      <c r="I25" s="122"/>
      <c r="J25" s="122"/>
      <c r="N25" s="122"/>
      <c r="O25" s="122"/>
    </row>
    <row r="26" spans="1:16" x14ac:dyDescent="0.25">
      <c r="A26" t="s">
        <v>162</v>
      </c>
      <c r="B26" s="12" t="s">
        <v>11</v>
      </c>
      <c r="C26" s="12"/>
      <c r="D26" s="21">
        <f>+'Ex. 3 Amortization table'!E7</f>
        <v>1515000</v>
      </c>
      <c r="E26" s="21"/>
      <c r="H26" s="12" t="s">
        <v>350</v>
      </c>
      <c r="I26" s="21"/>
      <c r="J26" s="21"/>
      <c r="L26" t="str">
        <f t="shared" ref="L26:M28" si="2">B26</f>
        <v>Cash</v>
      </c>
      <c r="M26" s="12"/>
      <c r="N26" s="21">
        <f>+D26</f>
        <v>1515000</v>
      </c>
      <c r="O26" s="21"/>
    </row>
    <row r="27" spans="1:16" x14ac:dyDescent="0.25">
      <c r="C27" t="s">
        <v>241</v>
      </c>
      <c r="D27"/>
      <c r="E27" s="42">
        <f>+D26</f>
        <v>1515000</v>
      </c>
      <c r="G27" s="173"/>
      <c r="H27" s="12"/>
      <c r="I27" s="21"/>
      <c r="J27" s="21"/>
      <c r="L27" s="173"/>
      <c r="M27" s="12" t="str">
        <f t="shared" si="2"/>
        <v>Revenue - state per capita aid</v>
      </c>
      <c r="N27" s="21"/>
      <c r="O27" s="21">
        <f>+E27</f>
        <v>1515000</v>
      </c>
      <c r="P27" s="14"/>
    </row>
    <row r="28" spans="1:16" x14ac:dyDescent="0.25">
      <c r="B28" s="13" t="s">
        <v>105</v>
      </c>
      <c r="D28"/>
      <c r="E28"/>
      <c r="L28" t="str">
        <f t="shared" si="2"/>
        <v>[To record unrestricted state aid for 2021]</v>
      </c>
      <c r="N28" s="129"/>
      <c r="O28" s="129"/>
    </row>
    <row r="29" spans="1:16" x14ac:dyDescent="0.25">
      <c r="B29" s="58"/>
      <c r="C29" s="13"/>
      <c r="D29"/>
      <c r="E29"/>
      <c r="H29" s="12"/>
      <c r="I29" s="21"/>
      <c r="J29" s="21"/>
      <c r="M29" s="12"/>
      <c r="N29" s="21"/>
      <c r="O29" s="21"/>
    </row>
    <row r="30" spans="1:16" x14ac:dyDescent="0.25">
      <c r="B30" s="58"/>
      <c r="D30"/>
      <c r="E30"/>
      <c r="H30" s="12"/>
      <c r="I30" s="21"/>
      <c r="J30" s="178"/>
      <c r="M30" s="12"/>
      <c r="N30" s="21"/>
      <c r="O30" s="178"/>
    </row>
    <row r="31" spans="1:16" x14ac:dyDescent="0.25">
      <c r="A31" t="s">
        <v>168</v>
      </c>
      <c r="B31" s="12" t="s">
        <v>352</v>
      </c>
      <c r="C31" s="12"/>
      <c r="D31" s="21">
        <f>+'Ex. 3 Amortization table'!K7</f>
        <v>650000</v>
      </c>
      <c r="E31" s="21"/>
      <c r="G31" s="12" t="str">
        <f>+H9</f>
        <v>Bonds payable</v>
      </c>
      <c r="I31" s="21">
        <f>+J33</f>
        <v>650000</v>
      </c>
      <c r="J31" s="21"/>
      <c r="L31" s="12" t="str">
        <f>+G31</f>
        <v>Bonds payable</v>
      </c>
      <c r="N31" s="21">
        <f>+I31</f>
        <v>650000</v>
      </c>
      <c r="O31" s="21"/>
    </row>
    <row r="32" spans="1:16" x14ac:dyDescent="0.25">
      <c r="B32" s="12" t="s">
        <v>353</v>
      </c>
      <c r="C32" s="12"/>
      <c r="D32" s="21">
        <f>+'Ex. 3 Amortization table'!J7</f>
        <v>600000</v>
      </c>
      <c r="E32" s="21"/>
      <c r="G32" t="s">
        <v>16</v>
      </c>
      <c r="I32" s="21">
        <f>+J34</f>
        <v>600000</v>
      </c>
      <c r="J32" s="21"/>
      <c r="L32" t="str">
        <f>+G32</f>
        <v>Interest expense</v>
      </c>
      <c r="N32" s="21">
        <f>+I32</f>
        <v>600000</v>
      </c>
      <c r="O32" s="21"/>
    </row>
    <row r="33" spans="1:16" x14ac:dyDescent="0.25">
      <c r="C33" s="12" t="s">
        <v>11</v>
      </c>
      <c r="D33" s="21"/>
      <c r="E33" s="21">
        <f>+D31+D32</f>
        <v>1250000</v>
      </c>
      <c r="G33" s="173"/>
      <c r="H33" s="12" t="str">
        <f>+B31</f>
        <v>Debt service - principal</v>
      </c>
      <c r="I33" s="21"/>
      <c r="J33" s="21">
        <f>+D31</f>
        <v>650000</v>
      </c>
      <c r="L33" s="173"/>
      <c r="M33" s="12" t="str">
        <f>+C33</f>
        <v>Cash</v>
      </c>
      <c r="N33" s="21"/>
      <c r="O33" s="21">
        <f>+E33</f>
        <v>1250000</v>
      </c>
    </row>
    <row r="34" spans="1:16" ht="14.25" customHeight="1" x14ac:dyDescent="0.25">
      <c r="B34" s="13" t="s">
        <v>354</v>
      </c>
      <c r="C34" s="13"/>
      <c r="D34"/>
      <c r="E34" s="21"/>
      <c r="G34" s="179"/>
      <c r="H34" s="12" t="str">
        <f>+B32</f>
        <v>Debt service - interest</v>
      </c>
      <c r="I34" s="21"/>
      <c r="J34" s="21">
        <f>+D32</f>
        <v>600000</v>
      </c>
      <c r="K34" s="13"/>
      <c r="L34" s="13" t="str">
        <f>+B34</f>
        <v>[To record payment of debt service for 2021]</v>
      </c>
      <c r="M34" s="12"/>
      <c r="N34" s="21"/>
      <c r="O34" s="21"/>
    </row>
    <row r="35" spans="1:16" x14ac:dyDescent="0.25">
      <c r="D35"/>
      <c r="E35"/>
      <c r="G35" s="173"/>
      <c r="H35" s="180"/>
      <c r="I35" s="21"/>
      <c r="J35" s="21"/>
      <c r="L35" s="173"/>
      <c r="M35" s="180"/>
      <c r="N35" s="21"/>
      <c r="O35" s="21"/>
    </row>
    <row r="36" spans="1:16" x14ac:dyDescent="0.25">
      <c r="D36"/>
      <c r="E36"/>
      <c r="G36" s="173"/>
      <c r="H36" s="180"/>
      <c r="I36" s="21"/>
      <c r="J36" s="21"/>
      <c r="L36" s="173"/>
      <c r="M36" s="180"/>
      <c r="N36" s="21"/>
      <c r="O36" s="21"/>
    </row>
    <row r="37" spans="1:16" x14ac:dyDescent="0.25">
      <c r="A37" t="s">
        <v>208</v>
      </c>
      <c r="B37" t="str">
        <f>+C18</f>
        <v>County's residual interest in sold revenues</v>
      </c>
      <c r="D37" s="42">
        <f>+E39+E40</f>
        <v>1265000</v>
      </c>
      <c r="E37" s="129"/>
      <c r="G37" s="12"/>
      <c r="H37" s="12" t="s">
        <v>350</v>
      </c>
      <c r="I37" s="21"/>
      <c r="J37" s="21"/>
      <c r="L37" s="12" t="str">
        <f>+B37</f>
        <v>County's residual interest in sold revenues</v>
      </c>
      <c r="M37" s="12"/>
      <c r="N37" s="21">
        <f>+D37</f>
        <v>1265000</v>
      </c>
      <c r="O37" s="21"/>
    </row>
    <row r="38" spans="1:16" x14ac:dyDescent="0.25">
      <c r="C38" s="12" t="s">
        <v>249</v>
      </c>
      <c r="D38" s="12"/>
      <c r="E38"/>
      <c r="G38" s="173"/>
      <c r="H38" s="180"/>
      <c r="I38" s="21"/>
      <c r="J38" s="21"/>
      <c r="L38" s="173"/>
      <c r="M38" s="180" t="str">
        <f>+C38</f>
        <v>Deferred outflows of resources - purchase of</v>
      </c>
      <c r="N38" s="21"/>
      <c r="O38" s="21"/>
    </row>
    <row r="39" spans="1:16" x14ac:dyDescent="0.25">
      <c r="C39" t="s">
        <v>250</v>
      </c>
      <c r="D39"/>
      <c r="E39" s="21">
        <f>+'Ex. 3 Amortization table'!G7</f>
        <v>1000000</v>
      </c>
      <c r="G39" s="173"/>
      <c r="H39" s="12"/>
      <c r="I39" s="21"/>
      <c r="J39" s="21"/>
      <c r="L39" s="173"/>
      <c r="M39" s="12" t="str">
        <f>+C39</f>
        <v xml:space="preserve">     future revenues</v>
      </c>
      <c r="N39" s="21"/>
      <c r="O39" s="21">
        <f>+E39</f>
        <v>1000000</v>
      </c>
    </row>
    <row r="40" spans="1:16" x14ac:dyDescent="0.25">
      <c r="C40" t="s">
        <v>11</v>
      </c>
      <c r="D40"/>
      <c r="E40" s="21">
        <f>+'Ex. 3 Amortization table'!F7</f>
        <v>265000</v>
      </c>
      <c r="G40" s="173"/>
      <c r="H40" s="12"/>
      <c r="I40" s="21"/>
      <c r="J40" s="21"/>
      <c r="L40" s="173"/>
      <c r="M40" s="12" t="str">
        <f>+C40</f>
        <v>Cash</v>
      </c>
      <c r="N40" s="21"/>
      <c r="O40" s="21">
        <f>+E40</f>
        <v>265000</v>
      </c>
    </row>
    <row r="41" spans="1:16" x14ac:dyDescent="0.25">
      <c r="B41" s="58" t="s">
        <v>335</v>
      </c>
      <c r="D41"/>
      <c r="E41"/>
      <c r="G41" s="173"/>
      <c r="H41" s="12"/>
      <c r="I41" s="21"/>
      <c r="J41" s="21"/>
      <c r="L41" s="13" t="str">
        <f t="shared" ref="L41:L42" si="3">B41</f>
        <v>[To record pass-through of residual state aid to County</v>
      </c>
      <c r="M41" s="12"/>
      <c r="N41" s="21"/>
      <c r="O41" s="21"/>
    </row>
    <row r="42" spans="1:16" x14ac:dyDescent="0.25">
      <c r="B42" s="58" t="s">
        <v>336</v>
      </c>
      <c r="D42"/>
      <c r="E42" s="21"/>
      <c r="G42" s="173"/>
      <c r="H42" s="12"/>
      <c r="I42" s="21"/>
      <c r="J42" s="21"/>
      <c r="L42" s="13" t="str">
        <f t="shared" si="3"/>
        <v>and to amortize deferred outflows of resources for 2021]</v>
      </c>
      <c r="M42" s="12"/>
      <c r="N42" s="21"/>
      <c r="O42" s="21"/>
    </row>
    <row r="43" spans="1:16" s="99" customFormat="1" x14ac:dyDescent="0.25">
      <c r="A43"/>
      <c r="B43"/>
      <c r="C43"/>
      <c r="D43"/>
      <c r="E43" s="21"/>
      <c r="F43"/>
      <c r="G43" s="173"/>
      <c r="H43" s="12"/>
      <c r="I43" s="21"/>
      <c r="J43" s="21"/>
      <c r="K43"/>
      <c r="L43" s="173"/>
      <c r="M43" s="12"/>
      <c r="N43" s="21"/>
      <c r="O43" s="21"/>
      <c r="P43" s="14"/>
    </row>
    <row r="44" spans="1:16" x14ac:dyDescent="0.25">
      <c r="B44" s="58"/>
      <c r="D44"/>
      <c r="E44"/>
      <c r="G44" s="173"/>
      <c r="H44" s="12"/>
      <c r="I44" s="21"/>
      <c r="J44" s="21"/>
      <c r="L44" s="173"/>
      <c r="M44" s="12"/>
      <c r="N44" s="21"/>
      <c r="O44" s="21"/>
    </row>
    <row r="45" spans="1:16" x14ac:dyDescent="0.25">
      <c r="D45"/>
      <c r="E45"/>
      <c r="G45" s="173"/>
      <c r="H45" s="181"/>
      <c r="I45" s="21"/>
      <c r="J45" s="21"/>
      <c r="L45" s="173"/>
      <c r="M45" s="181"/>
      <c r="N45" s="21"/>
      <c r="O45" s="21"/>
    </row>
    <row r="46" spans="1:16" x14ac:dyDescent="0.25">
      <c r="A46" s="46">
        <v>2022</v>
      </c>
      <c r="D46"/>
      <c r="E46" s="21"/>
      <c r="G46" s="173"/>
      <c r="H46" s="12"/>
      <c r="I46" s="21"/>
      <c r="J46" s="21"/>
      <c r="L46" s="173"/>
      <c r="M46" s="12"/>
      <c r="N46" s="21"/>
      <c r="O46" s="21"/>
    </row>
    <row r="47" spans="1:16" x14ac:dyDescent="0.25">
      <c r="A47" t="s">
        <v>160</v>
      </c>
      <c r="B47" s="12" t="s">
        <v>11</v>
      </c>
      <c r="C47" s="12"/>
      <c r="D47" s="21">
        <f>+'Ex. 3 Amortization table'!E8</f>
        <v>1530150</v>
      </c>
      <c r="E47" s="21"/>
      <c r="G47" s="173"/>
      <c r="H47" s="12" t="s">
        <v>350</v>
      </c>
      <c r="I47" s="21"/>
      <c r="J47" s="21"/>
      <c r="L47" s="173" t="str">
        <f t="shared" ref="L47:M49" si="4">B47</f>
        <v>Cash</v>
      </c>
      <c r="M47" s="12"/>
      <c r="N47" s="21">
        <f>+D47</f>
        <v>1530150</v>
      </c>
      <c r="O47" s="21"/>
    </row>
    <row r="48" spans="1:16" ht="14.25" customHeight="1" x14ac:dyDescent="0.25">
      <c r="C48" t="s">
        <v>218</v>
      </c>
      <c r="D48"/>
      <c r="E48" s="42">
        <f>+D47</f>
        <v>1530150</v>
      </c>
      <c r="G48" s="173"/>
      <c r="H48" s="12"/>
      <c r="I48" s="21"/>
      <c r="J48" s="21"/>
      <c r="L48" s="173"/>
      <c r="M48" s="12" t="str">
        <f t="shared" si="4"/>
        <v>Revenue - State per capita aid</v>
      </c>
      <c r="N48" s="21"/>
      <c r="O48" s="21">
        <f>+E48</f>
        <v>1530150</v>
      </c>
    </row>
    <row r="49" spans="1:15" x14ac:dyDescent="0.25">
      <c r="B49" s="13" t="s">
        <v>106</v>
      </c>
      <c r="D49"/>
      <c r="E49"/>
      <c r="G49" s="173"/>
      <c r="H49" s="12"/>
      <c r="I49" s="21"/>
      <c r="J49" s="21"/>
      <c r="L49" s="13" t="str">
        <f t="shared" si="4"/>
        <v>[To record unrestricted state aid for 2022]</v>
      </c>
      <c r="M49" s="12"/>
      <c r="N49" s="21"/>
      <c r="O49" s="21"/>
    </row>
    <row r="50" spans="1:15" ht="14.65" customHeight="1" x14ac:dyDescent="0.25">
      <c r="D50"/>
      <c r="E50"/>
      <c r="G50" s="12"/>
      <c r="H50" s="12"/>
      <c r="I50" s="21"/>
      <c r="J50" s="21"/>
      <c r="L50" s="12"/>
      <c r="M50" s="12"/>
      <c r="N50" s="21"/>
      <c r="O50" s="21"/>
    </row>
    <row r="51" spans="1:15" ht="14.65" customHeight="1" x14ac:dyDescent="0.25">
      <c r="D51"/>
      <c r="E51"/>
      <c r="G51" s="12"/>
      <c r="H51" s="12"/>
      <c r="I51" s="12"/>
      <c r="J51" s="12"/>
      <c r="L51" s="12"/>
      <c r="M51" s="12"/>
      <c r="N51" s="12"/>
      <c r="O51" s="12"/>
    </row>
    <row r="52" spans="1:15" ht="14.65" customHeight="1" x14ac:dyDescent="0.25">
      <c r="A52" t="s">
        <v>161</v>
      </c>
      <c r="B52" s="12" t="str">
        <f>+B31</f>
        <v>Debt service - principal</v>
      </c>
      <c r="C52" s="12"/>
      <c r="D52" s="21">
        <f>+'Ex. 3 Amortization table'!K8</f>
        <v>682500</v>
      </c>
      <c r="E52" s="21"/>
      <c r="G52" s="12" t="str">
        <f>+G31</f>
        <v>Bonds payable</v>
      </c>
      <c r="I52" s="21">
        <f>+J54</f>
        <v>682500</v>
      </c>
      <c r="J52" s="21"/>
      <c r="L52" s="12" t="str">
        <f>+G52</f>
        <v>Bonds payable</v>
      </c>
      <c r="N52" s="21">
        <f>+I52</f>
        <v>682500</v>
      </c>
      <c r="O52" s="21"/>
    </row>
    <row r="53" spans="1:15" x14ac:dyDescent="0.25">
      <c r="B53" s="12" t="str">
        <f>+B32</f>
        <v>Debt service - interest</v>
      </c>
      <c r="C53" s="12"/>
      <c r="D53" s="21">
        <f>+'Ex. 3 Amortization table'!J8</f>
        <v>567500</v>
      </c>
      <c r="E53" s="21"/>
      <c r="G53" t="s">
        <v>16</v>
      </c>
      <c r="I53" s="21">
        <f>+J55</f>
        <v>567500</v>
      </c>
      <c r="J53" s="21"/>
      <c r="L53" t="str">
        <f>+G53</f>
        <v>Interest expense</v>
      </c>
      <c r="N53" s="21">
        <f>+I53</f>
        <v>567500</v>
      </c>
      <c r="O53" s="21"/>
    </row>
    <row r="54" spans="1:15" ht="14.25" customHeight="1" x14ac:dyDescent="0.25">
      <c r="B54" s="12"/>
      <c r="C54" s="12" t="str">
        <f>+C33</f>
        <v>Cash</v>
      </c>
      <c r="D54" s="21"/>
      <c r="E54" s="21">
        <f>+D52+D53</f>
        <v>1250000</v>
      </c>
      <c r="G54" s="173"/>
      <c r="H54" s="12" t="str">
        <f>+B52</f>
        <v>Debt service - principal</v>
      </c>
      <c r="I54" s="21"/>
      <c r="J54" s="21">
        <f>+D52</f>
        <v>682500</v>
      </c>
      <c r="L54" s="173"/>
      <c r="M54" s="12" t="str">
        <f>+C54</f>
        <v>Cash</v>
      </c>
      <c r="N54" s="21"/>
      <c r="O54" s="21">
        <f>+E54</f>
        <v>1250000</v>
      </c>
    </row>
    <row r="55" spans="1:15" ht="14.25" customHeight="1" x14ac:dyDescent="0.25">
      <c r="B55" s="13" t="s">
        <v>109</v>
      </c>
      <c r="C55" s="13"/>
      <c r="D55"/>
      <c r="E55"/>
      <c r="G55" s="179"/>
      <c r="H55" s="12" t="str">
        <f>+B53</f>
        <v>Debt service - interest</v>
      </c>
      <c r="I55" s="21"/>
      <c r="J55" s="21">
        <f>+D53</f>
        <v>567500</v>
      </c>
      <c r="L55" s="13" t="str">
        <f>+B55</f>
        <v>[To record payment of debt service for 2022]</v>
      </c>
      <c r="M55" s="12"/>
      <c r="N55" s="21"/>
      <c r="O55" s="21"/>
    </row>
    <row r="56" spans="1:15" ht="14.65" customHeight="1" x14ac:dyDescent="0.25">
      <c r="D56"/>
      <c r="E56"/>
      <c r="G56" s="173"/>
      <c r="H56" s="180"/>
      <c r="I56" s="21"/>
      <c r="J56" s="21"/>
      <c r="L56" s="173"/>
      <c r="M56" s="180"/>
      <c r="N56" s="21"/>
      <c r="O56" s="21"/>
    </row>
    <row r="57" spans="1:15" x14ac:dyDescent="0.25">
      <c r="D57"/>
      <c r="E57"/>
      <c r="I57" s="122"/>
      <c r="J57" s="122"/>
      <c r="N57" s="122"/>
      <c r="O57" s="122"/>
    </row>
    <row r="58" spans="1:15" x14ac:dyDescent="0.25">
      <c r="A58" t="s">
        <v>162</v>
      </c>
      <c r="B58" t="str">
        <f>+B37</f>
        <v>County's residual interest in sold revenues</v>
      </c>
      <c r="D58" s="42">
        <f>+E60+E61</f>
        <v>1280150</v>
      </c>
      <c r="E58"/>
      <c r="G58" s="12"/>
      <c r="H58" s="12" t="s">
        <v>350</v>
      </c>
      <c r="I58" s="21"/>
      <c r="J58" s="21"/>
      <c r="L58" s="12" t="str">
        <f>+B58</f>
        <v>County's residual interest in sold revenues</v>
      </c>
      <c r="M58" s="12"/>
      <c r="N58" s="21">
        <f>+D58</f>
        <v>1280150</v>
      </c>
      <c r="O58" s="21"/>
    </row>
    <row r="59" spans="1:15" x14ac:dyDescent="0.25">
      <c r="C59" s="12" t="s">
        <v>249</v>
      </c>
      <c r="D59"/>
      <c r="E59"/>
      <c r="G59" s="173"/>
      <c r="H59" s="180"/>
      <c r="I59" s="21"/>
      <c r="J59" s="21"/>
      <c r="L59" s="173"/>
      <c r="M59" s="180" t="str">
        <f>+C59</f>
        <v>Deferred outflows of resources - purchase of</v>
      </c>
      <c r="N59" s="21"/>
      <c r="O59" s="21"/>
    </row>
    <row r="60" spans="1:15" x14ac:dyDescent="0.25">
      <c r="C60" t="s">
        <v>250</v>
      </c>
      <c r="D60" s="25"/>
      <c r="E60" s="21">
        <f>+'Ex. 3 Amortization table'!G8</f>
        <v>1000000</v>
      </c>
      <c r="G60" s="173"/>
      <c r="H60" s="12"/>
      <c r="I60" s="21"/>
      <c r="J60" s="21"/>
      <c r="L60" s="173"/>
      <c r="M60" s="12" t="str">
        <f>+C60</f>
        <v xml:space="preserve">     future revenues</v>
      </c>
      <c r="N60" s="21"/>
      <c r="O60" s="21">
        <f>+E60</f>
        <v>1000000</v>
      </c>
    </row>
    <row r="61" spans="1:15" x14ac:dyDescent="0.25">
      <c r="C61" t="s">
        <v>11</v>
      </c>
      <c r="D61"/>
      <c r="E61" s="21">
        <f>+'Ex. 3 Amortization table'!F8</f>
        <v>280150</v>
      </c>
      <c r="G61" s="173"/>
      <c r="H61" s="12"/>
      <c r="I61" s="21"/>
      <c r="J61" s="21"/>
      <c r="L61" s="173"/>
      <c r="M61" s="12" t="str">
        <f>+C61</f>
        <v>Cash</v>
      </c>
      <c r="N61" s="21"/>
      <c r="O61" s="21">
        <f>+E61</f>
        <v>280150</v>
      </c>
    </row>
    <row r="62" spans="1:15" x14ac:dyDescent="0.25">
      <c r="B62" s="58" t="s">
        <v>223</v>
      </c>
      <c r="D62"/>
      <c r="E62"/>
      <c r="G62" s="173"/>
      <c r="H62" s="12"/>
      <c r="I62" s="21"/>
      <c r="J62" s="21"/>
      <c r="L62" s="13" t="str">
        <f t="shared" ref="L62:L63" si="5">B62</f>
        <v xml:space="preserve">[To record pass-through of residual state aid to County, </v>
      </c>
      <c r="M62" s="13"/>
      <c r="N62" s="21"/>
      <c r="O62" s="21"/>
    </row>
    <row r="63" spans="1:15" x14ac:dyDescent="0.25">
      <c r="B63" s="58" t="s">
        <v>224</v>
      </c>
      <c r="D63"/>
      <c r="E63" s="21"/>
      <c r="G63" s="173"/>
      <c r="H63" s="12"/>
      <c r="I63" s="21"/>
      <c r="J63" s="21"/>
      <c r="L63" s="13" t="str">
        <f t="shared" si="5"/>
        <v>and amortize deferred outflows of resources for 2022]</v>
      </c>
      <c r="M63" s="13"/>
      <c r="N63" s="21"/>
      <c r="O63" s="21"/>
    </row>
    <row r="64" spans="1:15" x14ac:dyDescent="0.25">
      <c r="D64"/>
      <c r="E64"/>
      <c r="N64" s="129"/>
      <c r="O64" s="129"/>
    </row>
    <row r="65" spans="1:15" x14ac:dyDescent="0.25">
      <c r="D65"/>
      <c r="E65"/>
      <c r="N65" s="129"/>
      <c r="O65" s="129"/>
    </row>
    <row r="66" spans="1:15" x14ac:dyDescent="0.25">
      <c r="A66" s="46">
        <v>2023</v>
      </c>
      <c r="D66"/>
      <c r="E66"/>
      <c r="N66" s="129"/>
      <c r="O66" s="129"/>
    </row>
    <row r="67" spans="1:15" x14ac:dyDescent="0.25">
      <c r="A67" t="s">
        <v>160</v>
      </c>
      <c r="B67" s="12" t="str">
        <f>+B47</f>
        <v>Cash</v>
      </c>
      <c r="C67" s="12"/>
      <c r="D67" s="21">
        <f>+'Ex. 3 Amortization table'!E9</f>
        <v>1545450</v>
      </c>
      <c r="E67" s="21"/>
      <c r="H67" s="12" t="s">
        <v>350</v>
      </c>
      <c r="L67" t="str">
        <f t="shared" ref="L67:O69" si="6">L47</f>
        <v>Cash</v>
      </c>
      <c r="M67" s="12"/>
      <c r="N67" s="129">
        <f t="shared" si="6"/>
        <v>1530150</v>
      </c>
      <c r="O67" s="129"/>
    </row>
    <row r="68" spans="1:15" x14ac:dyDescent="0.25">
      <c r="C68" t="str">
        <f>+C48</f>
        <v>Revenue - State per capita aid</v>
      </c>
      <c r="D68"/>
      <c r="E68" s="42">
        <f>+D67</f>
        <v>1545450</v>
      </c>
      <c r="M68" t="str">
        <f t="shared" si="6"/>
        <v>Revenue - State per capita aid</v>
      </c>
      <c r="N68" s="129"/>
      <c r="O68" s="129">
        <f t="shared" si="6"/>
        <v>1530150</v>
      </c>
    </row>
    <row r="69" spans="1:15" x14ac:dyDescent="0.25">
      <c r="B69" s="13" t="s">
        <v>107</v>
      </c>
      <c r="D69"/>
      <c r="E69"/>
      <c r="L69" t="str">
        <f t="shared" si="6"/>
        <v>[To record unrestricted state aid for 2022]</v>
      </c>
      <c r="N69" s="129"/>
      <c r="O69" s="129"/>
    </row>
    <row r="70" spans="1:15" x14ac:dyDescent="0.25">
      <c r="D70"/>
      <c r="E70"/>
      <c r="N70" s="129"/>
      <c r="O70" s="129"/>
    </row>
    <row r="71" spans="1:15" x14ac:dyDescent="0.25">
      <c r="D71"/>
      <c r="E71"/>
      <c r="N71" s="129"/>
      <c r="O71" s="129"/>
    </row>
    <row r="72" spans="1:15" x14ac:dyDescent="0.25">
      <c r="A72" t="s">
        <v>161</v>
      </c>
      <c r="B72" s="12" t="str">
        <f>+B52</f>
        <v>Debt service - principal</v>
      </c>
      <c r="C72" s="12"/>
      <c r="D72" s="21">
        <f>+'Ex. 3 Amortization table'!K9</f>
        <v>716625</v>
      </c>
      <c r="E72" s="21"/>
      <c r="G72" s="12" t="str">
        <f>+G52</f>
        <v>Bonds payable</v>
      </c>
      <c r="I72" s="21">
        <f>+J74</f>
        <v>716625</v>
      </c>
      <c r="J72" s="21"/>
      <c r="L72" s="12" t="str">
        <f>+G72</f>
        <v>Bonds payable</v>
      </c>
      <c r="N72" s="21">
        <f>+I72</f>
        <v>716625</v>
      </c>
      <c r="O72" s="21"/>
    </row>
    <row r="73" spans="1:15" x14ac:dyDescent="0.25">
      <c r="B73" s="12" t="str">
        <f>+B53</f>
        <v>Debt service - interest</v>
      </c>
      <c r="C73" s="12"/>
      <c r="D73" s="21">
        <f>+'Ex. 3 Amortization table'!J9</f>
        <v>533375</v>
      </c>
      <c r="E73" s="21"/>
      <c r="G73" t="s">
        <v>16</v>
      </c>
      <c r="I73" s="21">
        <f>+J75</f>
        <v>533375</v>
      </c>
      <c r="J73" s="21"/>
      <c r="L73" t="str">
        <f>+G73</f>
        <v>Interest expense</v>
      </c>
      <c r="N73" s="21">
        <f>+I73</f>
        <v>533375</v>
      </c>
      <c r="O73" s="21"/>
    </row>
    <row r="74" spans="1:15" x14ac:dyDescent="0.25">
      <c r="B74" s="12"/>
      <c r="C74" s="12" t="s">
        <v>11</v>
      </c>
      <c r="D74" s="21"/>
      <c r="E74" s="21">
        <f>+D72+D73</f>
        <v>1250000</v>
      </c>
      <c r="G74" s="173"/>
      <c r="H74" s="12" t="str">
        <f>+B72</f>
        <v>Debt service - principal</v>
      </c>
      <c r="I74" s="21"/>
      <c r="J74" s="21">
        <f>+D72</f>
        <v>716625</v>
      </c>
      <c r="L74" s="173"/>
      <c r="M74" s="12" t="str">
        <f>+C74</f>
        <v>Cash</v>
      </c>
      <c r="N74" s="21"/>
      <c r="O74" s="21">
        <f>+E74</f>
        <v>1250000</v>
      </c>
    </row>
    <row r="75" spans="1:15" x14ac:dyDescent="0.25">
      <c r="B75" s="13" t="s">
        <v>108</v>
      </c>
      <c r="C75" s="13"/>
      <c r="D75"/>
      <c r="E75"/>
      <c r="G75" s="179"/>
      <c r="H75" s="12" t="str">
        <f>+B73</f>
        <v>Debt service - interest</v>
      </c>
      <c r="I75" s="21"/>
      <c r="J75" s="21">
        <f>+D73</f>
        <v>533375</v>
      </c>
      <c r="L75" s="13" t="str">
        <f>+B75</f>
        <v>[To record payment of debt service for 2023]</v>
      </c>
      <c r="M75" s="12"/>
      <c r="N75" s="21"/>
      <c r="O75" s="21"/>
    </row>
    <row r="76" spans="1:15" x14ac:dyDescent="0.25">
      <c r="D76"/>
      <c r="E76"/>
      <c r="N76" s="129"/>
      <c r="O76" s="129"/>
    </row>
    <row r="77" spans="1:15" x14ac:dyDescent="0.25">
      <c r="D77"/>
      <c r="E77"/>
      <c r="N77" s="129"/>
      <c r="O77" s="129"/>
    </row>
    <row r="78" spans="1:15" x14ac:dyDescent="0.25">
      <c r="A78" t="s">
        <v>162</v>
      </c>
      <c r="B78" t="str">
        <f>+B58</f>
        <v>County's residual interest in sold revenues</v>
      </c>
      <c r="D78" s="42">
        <f>+E80+E81</f>
        <v>1295450</v>
      </c>
      <c r="E78"/>
      <c r="G78" s="12"/>
      <c r="H78" s="12" t="s">
        <v>350</v>
      </c>
      <c r="I78" s="21"/>
      <c r="J78" s="21"/>
      <c r="L78" s="12" t="str">
        <f>+B78</f>
        <v>County's residual interest in sold revenues</v>
      </c>
      <c r="M78" s="12"/>
      <c r="N78" s="21">
        <f>+D78</f>
        <v>1295450</v>
      </c>
      <c r="O78" s="21"/>
    </row>
    <row r="79" spans="1:15" x14ac:dyDescent="0.25">
      <c r="C79" s="12" t="s">
        <v>249</v>
      </c>
      <c r="D79" s="12"/>
      <c r="E79"/>
      <c r="G79" s="173"/>
      <c r="H79" s="180"/>
      <c r="I79" s="21"/>
      <c r="J79" s="21"/>
      <c r="L79" s="173"/>
      <c r="M79" s="180" t="str">
        <f>+C79</f>
        <v>Deferred outflows of resources - purchase of</v>
      </c>
      <c r="N79" s="21"/>
      <c r="O79" s="21"/>
    </row>
    <row r="80" spans="1:15" x14ac:dyDescent="0.25">
      <c r="C80" t="s">
        <v>250</v>
      </c>
      <c r="D80" s="25"/>
      <c r="E80" s="21">
        <f>+'Ex. 3 Amortization table'!G9</f>
        <v>1000000</v>
      </c>
      <c r="G80" s="173"/>
      <c r="H80" s="12"/>
      <c r="I80" s="21"/>
      <c r="J80" s="21"/>
      <c r="L80" s="173"/>
      <c r="M80" s="12" t="str">
        <f>+C80</f>
        <v xml:space="preserve">     future revenues</v>
      </c>
      <c r="N80" s="21"/>
      <c r="O80" s="21">
        <f>+E80</f>
        <v>1000000</v>
      </c>
    </row>
    <row r="81" spans="1:15" x14ac:dyDescent="0.25">
      <c r="C81" t="s">
        <v>11</v>
      </c>
      <c r="D81"/>
      <c r="E81" s="21">
        <f>+'Ex. 3 Amortization table'!F9</f>
        <v>295450</v>
      </c>
      <c r="G81" s="173"/>
      <c r="H81" s="12"/>
      <c r="I81" s="21"/>
      <c r="J81" s="21"/>
      <c r="L81" s="173"/>
      <c r="M81" s="12" t="str">
        <f>+C81</f>
        <v>Cash</v>
      </c>
      <c r="N81" s="21"/>
      <c r="O81" s="21">
        <f>+E81</f>
        <v>295450</v>
      </c>
    </row>
    <row r="82" spans="1:15" x14ac:dyDescent="0.25">
      <c r="B82" s="58" t="s">
        <v>223</v>
      </c>
      <c r="D82"/>
      <c r="E82"/>
      <c r="G82" s="173"/>
      <c r="H82" s="12"/>
      <c r="I82" s="21"/>
      <c r="J82" s="21"/>
      <c r="L82" s="13" t="str">
        <f t="shared" ref="L82:L83" si="7">B82</f>
        <v xml:space="preserve">[To record pass-through of residual state aid to County, </v>
      </c>
      <c r="M82" s="12"/>
      <c r="N82" s="21"/>
      <c r="O82" s="21"/>
    </row>
    <row r="83" spans="1:15" x14ac:dyDescent="0.25">
      <c r="B83" s="58" t="s">
        <v>225</v>
      </c>
      <c r="D83"/>
      <c r="E83"/>
      <c r="G83" s="173"/>
      <c r="H83" s="12"/>
      <c r="I83" s="21"/>
      <c r="J83" s="21"/>
      <c r="L83" s="13" t="str">
        <f t="shared" si="7"/>
        <v>and amortize deferred outflows of resources for 2023]</v>
      </c>
      <c r="M83" s="12"/>
      <c r="N83" s="21"/>
      <c r="O83" s="21"/>
    </row>
    <row r="84" spans="1:15" x14ac:dyDescent="0.25">
      <c r="D84"/>
      <c r="E84"/>
      <c r="N84" s="129"/>
      <c r="O84" s="129"/>
    </row>
    <row r="85" spans="1:15" x14ac:dyDescent="0.25">
      <c r="D85"/>
      <c r="E85"/>
      <c r="N85" s="129"/>
      <c r="O85" s="129"/>
    </row>
    <row r="86" spans="1:15" x14ac:dyDescent="0.25">
      <c r="A86" s="46">
        <v>2024</v>
      </c>
      <c r="D86"/>
      <c r="E86"/>
      <c r="N86" s="129"/>
      <c r="O86" s="129"/>
    </row>
    <row r="87" spans="1:15" x14ac:dyDescent="0.25">
      <c r="A87" t="s">
        <v>160</v>
      </c>
      <c r="B87" s="12" t="str">
        <f>+B67</f>
        <v>Cash</v>
      </c>
      <c r="C87" s="12"/>
      <c r="D87" s="21">
        <f>+'Ex. 3 Amortization table'!E10</f>
        <v>1560900</v>
      </c>
      <c r="E87" s="21"/>
      <c r="H87" s="12" t="s">
        <v>350</v>
      </c>
      <c r="L87" t="str">
        <f t="shared" ref="L87" si="8">L67</f>
        <v>Cash</v>
      </c>
      <c r="M87" s="12"/>
      <c r="N87" s="129">
        <f t="shared" ref="N87" si="9">N67</f>
        <v>1530150</v>
      </c>
      <c r="O87" s="129"/>
    </row>
    <row r="88" spans="1:15" x14ac:dyDescent="0.25">
      <c r="C88" t="str">
        <f>+C68</f>
        <v>Revenue - State per capita aid</v>
      </c>
      <c r="D88"/>
      <c r="E88" s="42">
        <f>+D87</f>
        <v>1560900</v>
      </c>
      <c r="M88" t="str">
        <f t="shared" ref="M88" si="10">M68</f>
        <v>Revenue - State per capita aid</v>
      </c>
      <c r="N88" s="129"/>
      <c r="O88" s="129">
        <f t="shared" ref="O88" si="11">O68</f>
        <v>1530150</v>
      </c>
    </row>
    <row r="89" spans="1:15" x14ac:dyDescent="0.25">
      <c r="B89" s="13" t="s">
        <v>300</v>
      </c>
      <c r="D89"/>
      <c r="E89"/>
      <c r="L89" t="str">
        <f t="shared" ref="L89" si="12">L69</f>
        <v>[To record unrestricted state aid for 2022]</v>
      </c>
      <c r="N89" s="129"/>
      <c r="O89" s="129"/>
    </row>
    <row r="90" spans="1:15" x14ac:dyDescent="0.25">
      <c r="D90"/>
      <c r="E90"/>
      <c r="N90" s="129"/>
      <c r="O90" s="129"/>
    </row>
    <row r="91" spans="1:15" x14ac:dyDescent="0.25">
      <c r="D91"/>
      <c r="E91"/>
      <c r="N91" s="129"/>
      <c r="O91" s="129"/>
    </row>
    <row r="92" spans="1:15" x14ac:dyDescent="0.25">
      <c r="A92" t="s">
        <v>161</v>
      </c>
      <c r="B92" s="12" t="str">
        <f>+B72</f>
        <v>Debt service - principal</v>
      </c>
      <c r="C92" s="12"/>
      <c r="D92" s="21">
        <f>+'Ex. 3 Amortization table'!K10</f>
        <v>752456.25</v>
      </c>
      <c r="E92" s="21"/>
      <c r="G92" s="12" t="str">
        <f>+G72</f>
        <v>Bonds payable</v>
      </c>
      <c r="I92" s="21">
        <f>+J94</f>
        <v>752456.25</v>
      </c>
      <c r="J92" s="21"/>
      <c r="L92" s="12" t="str">
        <f>+G92</f>
        <v>Bonds payable</v>
      </c>
      <c r="N92" s="21">
        <f>+I92</f>
        <v>752456.25</v>
      </c>
      <c r="O92" s="21"/>
    </row>
    <row r="93" spans="1:15" x14ac:dyDescent="0.25">
      <c r="B93" s="12" t="str">
        <f>+B73</f>
        <v>Debt service - interest</v>
      </c>
      <c r="C93" s="12"/>
      <c r="D93" s="21">
        <f>+'Ex. 3 Amortization table'!J10</f>
        <v>497543.75</v>
      </c>
      <c r="E93" s="21"/>
      <c r="G93" t="s">
        <v>16</v>
      </c>
      <c r="I93" s="21">
        <f>+J95</f>
        <v>497543.75</v>
      </c>
      <c r="J93" s="21"/>
      <c r="L93" t="str">
        <f>+G93</f>
        <v>Interest expense</v>
      </c>
      <c r="N93" s="21">
        <f>+I93</f>
        <v>497543.75</v>
      </c>
      <c r="O93" s="21"/>
    </row>
    <row r="94" spans="1:15" x14ac:dyDescent="0.25">
      <c r="B94" s="12"/>
      <c r="C94" s="12" t="s">
        <v>11</v>
      </c>
      <c r="D94" s="21"/>
      <c r="E94" s="21">
        <f>+D92+D93</f>
        <v>1250000</v>
      </c>
      <c r="G94" s="173"/>
      <c r="H94" s="12" t="str">
        <f>+B92</f>
        <v>Debt service - principal</v>
      </c>
      <c r="I94" s="21"/>
      <c r="J94" s="21">
        <f>+D92</f>
        <v>752456.25</v>
      </c>
      <c r="L94" s="173"/>
      <c r="M94" s="12" t="str">
        <f>+C94</f>
        <v>Cash</v>
      </c>
      <c r="N94" s="21"/>
      <c r="O94" s="21">
        <f>+E94</f>
        <v>1250000</v>
      </c>
    </row>
    <row r="95" spans="1:15" x14ac:dyDescent="0.25">
      <c r="B95" s="13" t="s">
        <v>301</v>
      </c>
      <c r="C95" s="13"/>
      <c r="D95"/>
      <c r="E95"/>
      <c r="G95" s="179"/>
      <c r="H95" s="12" t="str">
        <f>+B93</f>
        <v>Debt service - interest</v>
      </c>
      <c r="I95" s="21"/>
      <c r="J95" s="21">
        <f>+D93</f>
        <v>497543.75</v>
      </c>
      <c r="L95" s="13" t="str">
        <f>+B95</f>
        <v>[To record payment of debt service for 2024]</v>
      </c>
      <c r="M95" s="12"/>
      <c r="N95" s="21"/>
      <c r="O95" s="21"/>
    </row>
    <row r="96" spans="1:15" x14ac:dyDescent="0.25">
      <c r="D96"/>
      <c r="E96"/>
      <c r="N96" s="129"/>
      <c r="O96" s="129"/>
    </row>
    <row r="97" spans="1:15" x14ac:dyDescent="0.25">
      <c r="D97"/>
      <c r="E97"/>
      <c r="N97" s="129"/>
      <c r="O97" s="129"/>
    </row>
    <row r="98" spans="1:15" ht="14.25" customHeight="1" x14ac:dyDescent="0.25">
      <c r="A98" t="s">
        <v>162</v>
      </c>
      <c r="B98" t="str">
        <f>+B78</f>
        <v>County's residual interest in sold revenues</v>
      </c>
      <c r="D98" s="42">
        <f>+E101+E102-651500</f>
        <v>659400</v>
      </c>
      <c r="E98"/>
      <c r="G98" s="12"/>
      <c r="H98" s="12" t="s">
        <v>350</v>
      </c>
      <c r="I98" s="21"/>
      <c r="J98" s="21"/>
      <c r="L98" s="12" t="str">
        <f>+B98</f>
        <v>County's residual interest in sold revenues</v>
      </c>
      <c r="M98" s="12"/>
      <c r="N98" s="21">
        <f>+D98</f>
        <v>659400</v>
      </c>
      <c r="O98" s="21"/>
    </row>
    <row r="99" spans="1:15" ht="14.25" customHeight="1" x14ac:dyDescent="0.25">
      <c r="B99" t="s">
        <v>362</v>
      </c>
      <c r="D99" s="42">
        <v>651500</v>
      </c>
      <c r="E99"/>
      <c r="G99" s="12"/>
      <c r="H99" s="180"/>
      <c r="I99" s="21"/>
      <c r="J99" s="21"/>
      <c r="L99" s="12" t="str">
        <f>+B99</f>
        <v>Expenditure/expense for purchase of future revenue</v>
      </c>
      <c r="M99" s="180"/>
      <c r="N99" s="21">
        <f>+D99</f>
        <v>651500</v>
      </c>
      <c r="O99" s="21"/>
    </row>
    <row r="100" spans="1:15" x14ac:dyDescent="0.25">
      <c r="C100" s="12" t="s">
        <v>249</v>
      </c>
      <c r="D100" s="12"/>
      <c r="E100"/>
      <c r="G100" s="173"/>
      <c r="H100" s="180"/>
      <c r="I100" s="21"/>
      <c r="J100" s="21"/>
      <c r="L100" s="173"/>
      <c r="M100" s="180" t="str">
        <f>+C100</f>
        <v>Deferred outflows of resources - purchase of</v>
      </c>
      <c r="N100" s="21"/>
      <c r="O100" s="21"/>
    </row>
    <row r="101" spans="1:15" x14ac:dyDescent="0.25">
      <c r="C101" t="s">
        <v>250</v>
      </c>
      <c r="D101" s="25"/>
      <c r="E101" s="21">
        <f>+'Ex. 3 Amortization table'!G10</f>
        <v>1000000</v>
      </c>
      <c r="G101" s="173"/>
      <c r="H101" s="12"/>
      <c r="I101" s="21"/>
      <c r="J101" s="21"/>
      <c r="L101" s="173"/>
      <c r="M101" s="12" t="str">
        <f>+C101</f>
        <v xml:space="preserve">     future revenues</v>
      </c>
      <c r="N101" s="21"/>
      <c r="O101" s="21">
        <f>+E101</f>
        <v>1000000</v>
      </c>
    </row>
    <row r="102" spans="1:15" x14ac:dyDescent="0.25">
      <c r="C102" t="s">
        <v>11</v>
      </c>
      <c r="D102"/>
      <c r="E102" s="21">
        <f>+'Ex. 3 Amortization table'!F10</f>
        <v>310900</v>
      </c>
      <c r="G102" s="173"/>
      <c r="H102" s="12"/>
      <c r="I102" s="21"/>
      <c r="J102" s="21"/>
      <c r="L102" s="173"/>
      <c r="M102" s="12" t="str">
        <f>+C102</f>
        <v>Cash</v>
      </c>
      <c r="N102" s="21"/>
      <c r="O102" s="21">
        <f>+E102</f>
        <v>310900</v>
      </c>
    </row>
    <row r="103" spans="1:15" x14ac:dyDescent="0.25">
      <c r="B103" s="58" t="s">
        <v>223</v>
      </c>
      <c r="D103"/>
      <c r="E103"/>
      <c r="G103" s="173"/>
      <c r="H103" s="12"/>
      <c r="I103" s="21"/>
      <c r="J103" s="21"/>
      <c r="L103" s="13" t="str">
        <f t="shared" ref="L103:L104" si="13">B103</f>
        <v xml:space="preserve">[To record pass-through of residual state aid to County, </v>
      </c>
      <c r="M103" s="12"/>
      <c r="N103" s="21"/>
      <c r="O103" s="21"/>
    </row>
    <row r="104" spans="1:15" x14ac:dyDescent="0.25">
      <c r="B104" s="58" t="s">
        <v>365</v>
      </c>
      <c r="D104"/>
      <c r="E104"/>
      <c r="G104" s="173"/>
      <c r="H104" s="12"/>
      <c r="I104" s="21"/>
      <c r="J104" s="21"/>
      <c r="L104" s="13" t="str">
        <f t="shared" si="13"/>
        <v>and amortize deferred outflows of resources for 2024]</v>
      </c>
      <c r="M104" s="12"/>
      <c r="N104" s="21"/>
      <c r="O104" s="21"/>
    </row>
    <row r="105" spans="1:15" x14ac:dyDescent="0.25">
      <c r="D105"/>
      <c r="E105"/>
      <c r="N105" s="129"/>
      <c r="O105" s="129"/>
    </row>
    <row r="106" spans="1:15" x14ac:dyDescent="0.25">
      <c r="D106"/>
      <c r="E106"/>
      <c r="N106" s="129"/>
      <c r="O106" s="129"/>
    </row>
    <row r="107" spans="1:15" x14ac:dyDescent="0.25">
      <c r="A107" s="46">
        <v>2025</v>
      </c>
      <c r="D107"/>
      <c r="E107"/>
      <c r="N107" s="129"/>
      <c r="O107" s="129"/>
    </row>
    <row r="108" spans="1:15" x14ac:dyDescent="0.25">
      <c r="A108" t="s">
        <v>160</v>
      </c>
      <c r="B108" s="12" t="str">
        <f>+B87</f>
        <v>Cash</v>
      </c>
      <c r="C108" s="12"/>
      <c r="D108" s="21">
        <f>+'Ex. 3 Amortization table'!E11</f>
        <v>1576500</v>
      </c>
      <c r="E108" s="21"/>
      <c r="H108" s="12" t="s">
        <v>350</v>
      </c>
      <c r="L108" t="str">
        <f>+B108</f>
        <v>Cash</v>
      </c>
      <c r="M108" s="12"/>
      <c r="N108" s="129">
        <f>+D108</f>
        <v>1576500</v>
      </c>
      <c r="O108" s="129"/>
    </row>
    <row r="109" spans="1:15" x14ac:dyDescent="0.25">
      <c r="C109" t="str">
        <f>+C88</f>
        <v>Revenue - State per capita aid</v>
      </c>
      <c r="D109"/>
      <c r="E109" s="42">
        <f>+D108</f>
        <v>1576500</v>
      </c>
      <c r="M109" t="str">
        <f>+C109</f>
        <v>Revenue - State per capita aid</v>
      </c>
      <c r="N109" s="129"/>
      <c r="O109" s="129">
        <f>+E109</f>
        <v>1576500</v>
      </c>
    </row>
    <row r="110" spans="1:15" x14ac:dyDescent="0.25">
      <c r="B110" s="13" t="s">
        <v>363</v>
      </c>
      <c r="D110"/>
      <c r="E110"/>
      <c r="L110" s="58" t="str">
        <f>+B110</f>
        <v>[To record unrestricted state aid for 2025]</v>
      </c>
      <c r="N110" s="129"/>
      <c r="O110" s="129"/>
    </row>
    <row r="111" spans="1:15" x14ac:dyDescent="0.25">
      <c r="D111"/>
      <c r="E111"/>
      <c r="N111" s="129"/>
      <c r="O111" s="129"/>
    </row>
    <row r="112" spans="1:15" x14ac:dyDescent="0.25">
      <c r="D112"/>
      <c r="E112"/>
      <c r="N112" s="129"/>
      <c r="O112" s="129"/>
    </row>
    <row r="113" spans="1:15" x14ac:dyDescent="0.25">
      <c r="A113" t="s">
        <v>161</v>
      </c>
      <c r="B113" s="12" t="str">
        <f>+B93</f>
        <v>Debt service - interest</v>
      </c>
      <c r="C113" s="12"/>
      <c r="D113" s="21">
        <f>+'Ex. 3 Amortization table'!K11</f>
        <v>790079.0625</v>
      </c>
      <c r="E113" s="21"/>
      <c r="G113" s="12" t="str">
        <f>+G92</f>
        <v>Bonds payable</v>
      </c>
      <c r="I113" s="21">
        <f>+J115</f>
        <v>790079.0625</v>
      </c>
      <c r="J113" s="21"/>
      <c r="L113" s="12" t="str">
        <f>+G113</f>
        <v>Bonds payable</v>
      </c>
      <c r="N113" s="21">
        <f>+I113</f>
        <v>790079.0625</v>
      </c>
      <c r="O113" s="21"/>
    </row>
    <row r="114" spans="1:15" x14ac:dyDescent="0.25">
      <c r="B114" s="12" t="str">
        <f>+B93</f>
        <v>Debt service - interest</v>
      </c>
      <c r="C114" s="12"/>
      <c r="D114" s="21">
        <f>+'Ex. 3 Amortization table'!J11</f>
        <v>459920.9375</v>
      </c>
      <c r="E114" s="21"/>
      <c r="G114" t="str">
        <f>+G93</f>
        <v>Interest expense</v>
      </c>
      <c r="I114" s="21">
        <f>+J116</f>
        <v>459920.9375</v>
      </c>
      <c r="J114" s="21"/>
      <c r="L114" t="str">
        <f>+G114</f>
        <v>Interest expense</v>
      </c>
      <c r="N114" s="21">
        <f>+I114</f>
        <v>459920.9375</v>
      </c>
      <c r="O114" s="21"/>
    </row>
    <row r="115" spans="1:15" x14ac:dyDescent="0.25">
      <c r="B115" s="12"/>
      <c r="C115" s="12" t="s">
        <v>11</v>
      </c>
      <c r="D115" s="21"/>
      <c r="E115" s="21">
        <f>+D113+D114</f>
        <v>1250000</v>
      </c>
      <c r="G115" s="173"/>
      <c r="H115" s="12" t="str">
        <f>+H94</f>
        <v>Debt service - principal</v>
      </c>
      <c r="I115" s="21"/>
      <c r="J115" s="21">
        <f>+D113</f>
        <v>790079.0625</v>
      </c>
      <c r="L115" s="173"/>
      <c r="M115" s="12" t="str">
        <f>+C115</f>
        <v>Cash</v>
      </c>
      <c r="N115" s="21"/>
      <c r="O115" s="21">
        <f>+E115</f>
        <v>1250000</v>
      </c>
    </row>
    <row r="116" spans="1:15" x14ac:dyDescent="0.25">
      <c r="B116" s="13" t="s">
        <v>364</v>
      </c>
      <c r="C116" s="13"/>
      <c r="D116"/>
      <c r="E116"/>
      <c r="G116" s="179"/>
      <c r="H116" s="12" t="str">
        <f>+H95</f>
        <v>Debt service - interest</v>
      </c>
      <c r="I116" s="21"/>
      <c r="J116" s="21">
        <f>+D114</f>
        <v>459920.9375</v>
      </c>
      <c r="L116" s="13" t="str">
        <f>+B116</f>
        <v>[To record payment of debt service for 2025]</v>
      </c>
      <c r="M116" s="12"/>
      <c r="N116" s="21"/>
      <c r="O116" s="21"/>
    </row>
    <row r="117" spans="1:15" x14ac:dyDescent="0.25">
      <c r="D117"/>
      <c r="E117"/>
      <c r="N117" s="129"/>
      <c r="O117" s="129"/>
    </row>
    <row r="118" spans="1:15" x14ac:dyDescent="0.25">
      <c r="D118"/>
      <c r="E118"/>
      <c r="N118" s="129"/>
      <c r="O118" s="129"/>
    </row>
    <row r="119" spans="1:15" ht="14.25" customHeight="1" x14ac:dyDescent="0.25">
      <c r="A119" t="s">
        <v>162</v>
      </c>
      <c r="B119" t="s">
        <v>362</v>
      </c>
      <c r="D119" s="42">
        <f>+E121+E122</f>
        <v>1326500</v>
      </c>
      <c r="E119"/>
      <c r="G119" s="12"/>
      <c r="H119" s="180"/>
      <c r="I119" s="21"/>
      <c r="J119" s="21"/>
      <c r="L119" s="12" t="str">
        <f>+B119</f>
        <v>Expenditure/expense for purchase of future revenue</v>
      </c>
      <c r="M119" s="180"/>
      <c r="N119" s="21">
        <f>+D119</f>
        <v>1326500</v>
      </c>
      <c r="O119" s="21"/>
    </row>
    <row r="120" spans="1:15" x14ac:dyDescent="0.25">
      <c r="C120" s="12" t="s">
        <v>249</v>
      </c>
      <c r="D120" s="12"/>
      <c r="E120"/>
      <c r="G120" s="173"/>
      <c r="H120" s="180"/>
      <c r="I120" s="21"/>
      <c r="J120" s="21"/>
      <c r="L120" s="173"/>
      <c r="M120" s="180" t="str">
        <f>+C120</f>
        <v>Deferred outflows of resources - purchase of</v>
      </c>
      <c r="N120" s="21"/>
      <c r="O120" s="21"/>
    </row>
    <row r="121" spans="1:15" x14ac:dyDescent="0.25">
      <c r="C121" t="s">
        <v>250</v>
      </c>
      <c r="D121" s="25"/>
      <c r="E121" s="21">
        <f>+'Ex. 3 Amortization table'!G11</f>
        <v>1000000</v>
      </c>
      <c r="G121" s="173"/>
      <c r="H121" s="12"/>
      <c r="I121" s="21"/>
      <c r="J121" s="21"/>
      <c r="L121" s="173"/>
      <c r="M121" s="12" t="str">
        <f>+C121</f>
        <v xml:space="preserve">     future revenues</v>
      </c>
      <c r="N121" s="21"/>
      <c r="O121" s="21">
        <f>+E121</f>
        <v>1000000</v>
      </c>
    </row>
    <row r="122" spans="1:15" x14ac:dyDescent="0.25">
      <c r="C122" t="s">
        <v>11</v>
      </c>
      <c r="D122"/>
      <c r="E122" s="21">
        <f>+'Ex. 3 Amortization table'!F11</f>
        <v>326500</v>
      </c>
      <c r="G122" s="173"/>
      <c r="H122" s="12"/>
      <c r="I122" s="21"/>
      <c r="J122" s="21"/>
      <c r="L122" s="173"/>
      <c r="M122" s="12" t="str">
        <f>+C122</f>
        <v>Cash</v>
      </c>
      <c r="N122" s="21"/>
      <c r="O122" s="21">
        <f>+E122</f>
        <v>326500</v>
      </c>
    </row>
    <row r="123" spans="1:15" x14ac:dyDescent="0.25">
      <c r="B123" s="58" t="s">
        <v>223</v>
      </c>
      <c r="D123"/>
      <c r="E123"/>
      <c r="G123" s="173"/>
      <c r="H123" s="12"/>
      <c r="I123" s="21"/>
      <c r="J123" s="21"/>
      <c r="L123" s="13" t="str">
        <f t="shared" ref="L123:L124" si="14">B123</f>
        <v xml:space="preserve">[To record pass-through of residual state aid to County, </v>
      </c>
      <c r="M123" s="12"/>
      <c r="N123" s="21"/>
      <c r="O123" s="21"/>
    </row>
    <row r="124" spans="1:15" x14ac:dyDescent="0.25">
      <c r="B124" s="58" t="s">
        <v>366</v>
      </c>
      <c r="D124"/>
      <c r="E124"/>
      <c r="G124" s="173"/>
      <c r="H124" s="12"/>
      <c r="I124" s="21"/>
      <c r="J124" s="21"/>
      <c r="L124" s="13" t="str">
        <f t="shared" si="14"/>
        <v>and amortize deferred outflows of resources for 2025]</v>
      </c>
      <c r="M124" s="12"/>
      <c r="N124" s="21"/>
      <c r="O124" s="21"/>
    </row>
    <row r="125" spans="1:15" x14ac:dyDescent="0.25">
      <c r="D125"/>
      <c r="E125"/>
      <c r="N125" s="129"/>
      <c r="O125" s="129"/>
    </row>
    <row r="126" spans="1:15" x14ac:dyDescent="0.25">
      <c r="D126"/>
      <c r="E126"/>
      <c r="N126" s="129"/>
      <c r="O126" s="129"/>
    </row>
    <row r="127" spans="1:15" x14ac:dyDescent="0.25">
      <c r="A127" s="127" t="s">
        <v>361</v>
      </c>
      <c r="B127" s="127"/>
      <c r="C127" s="127"/>
      <c r="D127" s="128"/>
      <c r="E127" s="128"/>
      <c r="F127" s="127"/>
      <c r="G127" s="127"/>
      <c r="H127" s="127"/>
      <c r="I127" s="128"/>
      <c r="J127" s="128"/>
      <c r="K127" s="127"/>
      <c r="L127" s="127"/>
      <c r="M127" s="127"/>
      <c r="N127" s="128"/>
      <c r="O127" s="128"/>
    </row>
    <row r="128" spans="1:15" x14ac:dyDescent="0.25">
      <c r="D128" s="122"/>
      <c r="E128" s="122"/>
      <c r="N128" s="129"/>
      <c r="O128" s="129"/>
    </row>
    <row r="129" spans="1:15" x14ac:dyDescent="0.25">
      <c r="A129" s="46">
        <v>2033</v>
      </c>
      <c r="D129"/>
      <c r="E129"/>
      <c r="N129" s="129"/>
      <c r="O129" s="129"/>
    </row>
    <row r="130" spans="1:15" x14ac:dyDescent="0.25">
      <c r="A130" t="s">
        <v>160</v>
      </c>
      <c r="B130" s="12" t="s">
        <v>11</v>
      </c>
      <c r="C130" s="12"/>
      <c r="D130" s="21">
        <f>+'Ex. 3 Amortization table'!E19</f>
        <v>1707000</v>
      </c>
      <c r="E130" s="21"/>
      <c r="H130" s="12" t="s">
        <v>350</v>
      </c>
      <c r="L130" t="str">
        <f t="shared" ref="L130:M132" si="15">B130</f>
        <v>Cash</v>
      </c>
      <c r="M130" s="12"/>
      <c r="N130" s="129">
        <f>+D130</f>
        <v>1707000</v>
      </c>
      <c r="O130" s="129"/>
    </row>
    <row r="131" spans="1:15" x14ac:dyDescent="0.25">
      <c r="C131" t="s">
        <v>218</v>
      </c>
      <c r="D131"/>
      <c r="E131" s="42">
        <f>+D130</f>
        <v>1707000</v>
      </c>
      <c r="M131" t="str">
        <f t="shared" si="15"/>
        <v>Revenue - State per capita aid</v>
      </c>
      <c r="N131" s="129"/>
      <c r="O131" s="129">
        <f>+E131</f>
        <v>1707000</v>
      </c>
    </row>
    <row r="132" spans="1:15" x14ac:dyDescent="0.25">
      <c r="B132" s="13" t="s">
        <v>297</v>
      </c>
      <c r="D132"/>
      <c r="E132"/>
      <c r="L132" t="str">
        <f t="shared" si="15"/>
        <v>[To record unrestricted state aid for 2033]</v>
      </c>
      <c r="N132" s="129"/>
      <c r="O132" s="129"/>
    </row>
    <row r="133" spans="1:15" x14ac:dyDescent="0.25">
      <c r="B133" s="58"/>
      <c r="C133" s="13"/>
      <c r="D133" s="21"/>
      <c r="E133" s="21"/>
      <c r="N133" s="129"/>
      <c r="O133" s="129"/>
    </row>
    <row r="134" spans="1:15" x14ac:dyDescent="0.25">
      <c r="B134" s="58"/>
      <c r="D134"/>
      <c r="E134"/>
      <c r="N134" s="129"/>
      <c r="O134" s="129"/>
    </row>
    <row r="135" spans="1:15" x14ac:dyDescent="0.25">
      <c r="A135" t="s">
        <v>161</v>
      </c>
      <c r="B135" s="12" t="str">
        <f>+B72</f>
        <v>Debt service - principal</v>
      </c>
      <c r="C135" s="12"/>
      <c r="D135" s="21">
        <f>+'Ex. 3 Amortization table'!K19</f>
        <v>1167306.6119143839</v>
      </c>
      <c r="E135" s="21"/>
      <c r="G135" s="12" t="str">
        <f>+G72</f>
        <v>Bonds payable</v>
      </c>
      <c r="I135" s="21">
        <f>+J137</f>
        <v>1167306.6119143839</v>
      </c>
      <c r="J135" s="21"/>
      <c r="L135" s="12" t="str">
        <f>+G135</f>
        <v>Bonds payable</v>
      </c>
      <c r="N135" s="21">
        <f>+I135</f>
        <v>1167306.6119143839</v>
      </c>
      <c r="O135" s="21"/>
    </row>
    <row r="136" spans="1:15" x14ac:dyDescent="0.25">
      <c r="B136" s="12" t="str">
        <f>+B73</f>
        <v>Debt service - interest</v>
      </c>
      <c r="C136" s="12"/>
      <c r="D136" s="21">
        <f>+'Ex. 3 Amortization table'!J19</f>
        <v>82693.388085616112</v>
      </c>
      <c r="E136" s="21"/>
      <c r="G136" t="s">
        <v>16</v>
      </c>
      <c r="I136" s="21">
        <f>+J138</f>
        <v>82693.388085616112</v>
      </c>
      <c r="J136" s="21"/>
      <c r="L136" t="str">
        <f>+G136</f>
        <v>Interest expense</v>
      </c>
      <c r="N136" s="21">
        <f>+I136</f>
        <v>82693.388085616112</v>
      </c>
      <c r="O136" s="21"/>
    </row>
    <row r="137" spans="1:15" x14ac:dyDescent="0.25">
      <c r="B137" s="12"/>
      <c r="C137" s="12" t="str">
        <f>+C74</f>
        <v>Cash</v>
      </c>
      <c r="D137" s="21"/>
      <c r="E137" s="21">
        <f>+D135+D136</f>
        <v>1250000</v>
      </c>
      <c r="G137" s="173"/>
      <c r="H137" s="12" t="str">
        <f>+B135</f>
        <v>Debt service - principal</v>
      </c>
      <c r="I137" s="21"/>
      <c r="J137" s="21">
        <f>+D135</f>
        <v>1167306.6119143839</v>
      </c>
      <c r="L137" s="173"/>
      <c r="M137" s="12" t="str">
        <f>+C137</f>
        <v>Cash</v>
      </c>
      <c r="N137" s="21"/>
      <c r="O137" s="21">
        <f>+E137</f>
        <v>1250000</v>
      </c>
    </row>
    <row r="138" spans="1:15" x14ac:dyDescent="0.25">
      <c r="B138" s="13" t="s">
        <v>299</v>
      </c>
      <c r="C138" s="13"/>
      <c r="D138"/>
      <c r="E138"/>
      <c r="G138" s="179"/>
      <c r="H138" s="12" t="str">
        <f>+B136</f>
        <v>Debt service - interest</v>
      </c>
      <c r="I138" s="21"/>
      <c r="J138" s="21">
        <f>+D136</f>
        <v>82693.388085616112</v>
      </c>
      <c r="L138" s="13" t="str">
        <f>+B138</f>
        <v>[To record payment of debt service for 2033]</v>
      </c>
      <c r="M138" s="12"/>
      <c r="N138" s="21"/>
      <c r="O138" s="21"/>
    </row>
    <row r="139" spans="1:15" x14ac:dyDescent="0.25">
      <c r="D139" s="126"/>
      <c r="E139" s="126"/>
      <c r="N139" s="129"/>
      <c r="O139" s="129"/>
    </row>
    <row r="140" spans="1:15" x14ac:dyDescent="0.25">
      <c r="D140" s="126"/>
      <c r="E140" s="126"/>
      <c r="N140" s="129"/>
      <c r="O140" s="129"/>
    </row>
    <row r="141" spans="1:15" x14ac:dyDescent="0.25">
      <c r="A141" t="s">
        <v>162</v>
      </c>
      <c r="B141" t="str">
        <f>B78</f>
        <v>County's residual interest in sold revenues</v>
      </c>
      <c r="D141" s="42">
        <f>+E143+E144</f>
        <v>1457000</v>
      </c>
      <c r="E141"/>
      <c r="G141" s="12" t="s">
        <v>334</v>
      </c>
      <c r="H141" s="180"/>
      <c r="I141" s="21">
        <f>+J142</f>
        <v>1457000</v>
      </c>
      <c r="J141" s="21"/>
      <c r="L141" s="12" t="str">
        <f>+G141</f>
        <v>Expense - purchase of state aid revenue</v>
      </c>
      <c r="M141" s="180"/>
      <c r="N141" s="21">
        <f>+I141</f>
        <v>1457000</v>
      </c>
      <c r="O141" s="21"/>
    </row>
    <row r="142" spans="1:15" x14ac:dyDescent="0.25">
      <c r="C142" s="12" t="str">
        <f>C79</f>
        <v>Deferred outflows of resources - purchase of</v>
      </c>
      <c r="D142" s="12"/>
      <c r="E142"/>
      <c r="G142" s="173"/>
      <c r="H142" s="180" t="str">
        <f>+B141</f>
        <v>County's residual interest in sold revenues</v>
      </c>
      <c r="I142" s="21"/>
      <c r="J142" s="21">
        <f>+D141</f>
        <v>1457000</v>
      </c>
      <c r="L142" s="173"/>
      <c r="M142" s="180" t="str">
        <f>+C142</f>
        <v>Deferred outflows of resources - purchase of</v>
      </c>
      <c r="N142" s="21"/>
      <c r="O142" s="21"/>
    </row>
    <row r="143" spans="1:15" x14ac:dyDescent="0.25">
      <c r="C143" t="str">
        <f>C80</f>
        <v xml:space="preserve">     future revenues</v>
      </c>
      <c r="D143" s="25"/>
      <c r="E143" s="21">
        <f>+'Ex. 3 Amortization table'!G19</f>
        <v>1000000</v>
      </c>
      <c r="G143" s="173"/>
      <c r="H143" s="12"/>
      <c r="I143" s="21"/>
      <c r="J143" s="21"/>
      <c r="L143" s="173"/>
      <c r="M143" s="12" t="str">
        <f>+C143</f>
        <v xml:space="preserve">     future revenues</v>
      </c>
      <c r="N143" s="21"/>
      <c r="O143" s="21">
        <f>+E143</f>
        <v>1000000</v>
      </c>
    </row>
    <row r="144" spans="1:15" x14ac:dyDescent="0.25">
      <c r="C144" t="str">
        <f>C81</f>
        <v>Cash</v>
      </c>
      <c r="D144"/>
      <c r="E144" s="21">
        <f>+'Ex. 3 Amortization table'!F19</f>
        <v>457000</v>
      </c>
      <c r="G144" s="173"/>
      <c r="H144" s="12"/>
      <c r="I144" s="21"/>
      <c r="J144" s="21"/>
      <c r="L144" s="173"/>
      <c r="M144" s="12" t="str">
        <f>+C144</f>
        <v>Cash</v>
      </c>
      <c r="N144" s="21"/>
      <c r="O144" s="21">
        <f>+E144</f>
        <v>457000</v>
      </c>
    </row>
    <row r="145" spans="1:15" x14ac:dyDescent="0.25">
      <c r="B145" s="58" t="s">
        <v>223</v>
      </c>
      <c r="D145" s="126"/>
      <c r="E145" s="126"/>
      <c r="G145" s="173"/>
      <c r="H145" s="12"/>
      <c r="I145" s="21"/>
      <c r="J145" s="21"/>
      <c r="L145" s="13" t="str">
        <f t="shared" ref="L145:L146" si="16">B145</f>
        <v xml:space="preserve">[To record pass-through of residual state aid to County, </v>
      </c>
      <c r="M145" s="12"/>
      <c r="N145" s="21"/>
      <c r="O145" s="21"/>
    </row>
    <row r="146" spans="1:15" x14ac:dyDescent="0.25">
      <c r="B146" s="58" t="s">
        <v>298</v>
      </c>
      <c r="D146" s="126"/>
      <c r="E146" s="126"/>
      <c r="G146" s="173"/>
      <c r="H146" s="12"/>
      <c r="I146" s="21"/>
      <c r="J146" s="21"/>
      <c r="L146" s="13" t="str">
        <f t="shared" si="16"/>
        <v>and amortize deferred outflows of resources for 2033]</v>
      </c>
      <c r="M146" s="12"/>
      <c r="N146" s="21"/>
      <c r="O146" s="21"/>
    </row>
    <row r="147" spans="1:15" x14ac:dyDescent="0.25">
      <c r="B147" s="12"/>
      <c r="D147" s="129"/>
      <c r="E147" s="129"/>
      <c r="N147" s="129"/>
      <c r="O147" s="129"/>
    </row>
    <row r="148" spans="1:15" x14ac:dyDescent="0.25">
      <c r="D148" s="126"/>
      <c r="E148" s="126"/>
      <c r="N148" s="129"/>
      <c r="O148" s="129"/>
    </row>
    <row r="149" spans="1:15" x14ac:dyDescent="0.25">
      <c r="A149" s="46">
        <v>2034</v>
      </c>
      <c r="B149" s="173"/>
      <c r="C149" s="12"/>
      <c r="D149" s="21"/>
      <c r="E149" s="21"/>
      <c r="N149" s="129"/>
      <c r="O149" s="129"/>
    </row>
    <row r="150" spans="1:15" x14ac:dyDescent="0.25">
      <c r="A150" t="s">
        <v>160</v>
      </c>
      <c r="B150" s="12" t="s">
        <v>11</v>
      </c>
      <c r="C150" s="12"/>
      <c r="D150" s="21">
        <f>+E151</f>
        <v>1724070</v>
      </c>
      <c r="E150" s="21"/>
      <c r="H150" s="12" t="s">
        <v>350</v>
      </c>
      <c r="L150" t="str">
        <f t="shared" ref="L150" si="17">B150</f>
        <v>Cash</v>
      </c>
      <c r="M150" s="12"/>
      <c r="N150" s="129">
        <f>+D150</f>
        <v>1724070</v>
      </c>
      <c r="O150" s="129"/>
    </row>
    <row r="151" spans="1:15" x14ac:dyDescent="0.25">
      <c r="B151" s="12"/>
      <c r="C151" t="s">
        <v>98</v>
      </c>
      <c r="D151"/>
      <c r="E151" s="21">
        <f>+'Ex. 3 Amortization table'!E20</f>
        <v>1724070</v>
      </c>
      <c r="M151" t="str">
        <f t="shared" ref="M151" si="18">C151</f>
        <v>Revenue - unrestricted state aid</v>
      </c>
      <c r="N151" s="129"/>
      <c r="O151" s="129">
        <f>+E151</f>
        <v>1724070</v>
      </c>
    </row>
    <row r="152" spans="1:15" x14ac:dyDescent="0.25">
      <c r="B152" s="13" t="s">
        <v>300</v>
      </c>
      <c r="D152" s="126"/>
      <c r="E152" s="126"/>
      <c r="L152" s="58" t="str">
        <f t="shared" ref="L152" si="19">B152</f>
        <v>[To record unrestricted state aid for 2024]</v>
      </c>
      <c r="N152" s="129"/>
      <c r="O152" s="129"/>
    </row>
    <row r="153" spans="1:15" x14ac:dyDescent="0.25">
      <c r="B153" s="12"/>
      <c r="D153"/>
      <c r="E153" s="21"/>
      <c r="N153" s="129"/>
      <c r="O153" s="129"/>
    </row>
    <row r="154" spans="1:15" x14ac:dyDescent="0.25">
      <c r="C154" s="13"/>
      <c r="D154"/>
      <c r="E154"/>
      <c r="N154" s="129"/>
      <c r="O154" s="129"/>
    </row>
    <row r="155" spans="1:15" x14ac:dyDescent="0.25">
      <c r="A155" t="s">
        <v>161</v>
      </c>
      <c r="B155" s="12" t="str">
        <f t="shared" ref="B155:C157" si="20">B135</f>
        <v>Debt service - principal</v>
      </c>
      <c r="C155" s="12"/>
      <c r="D155" s="21">
        <f>+'Ex. 3 Amortization table'!K20</f>
        <v>486561.1497979383</v>
      </c>
      <c r="E155" s="21"/>
      <c r="G155" s="12" t="str">
        <f>+G135</f>
        <v>Bonds payable</v>
      </c>
      <c r="I155" s="21">
        <f>+J157</f>
        <v>486561.1497979383</v>
      </c>
      <c r="J155" s="21"/>
      <c r="L155" s="12" t="str">
        <f>+G155</f>
        <v>Bonds payable</v>
      </c>
      <c r="N155" s="21">
        <f>+I155</f>
        <v>486561.1497979383</v>
      </c>
      <c r="O155" s="21"/>
    </row>
    <row r="156" spans="1:15" x14ac:dyDescent="0.25">
      <c r="B156" s="12" t="str">
        <f t="shared" si="20"/>
        <v>Debt service - interest</v>
      </c>
      <c r="C156" s="12"/>
      <c r="D156" s="21">
        <f>+'Ex. 3 Amortization table'!J20</f>
        <v>24328.057489896917</v>
      </c>
      <c r="E156" s="21"/>
      <c r="G156" t="s">
        <v>16</v>
      </c>
      <c r="I156" s="21">
        <f>+J158</f>
        <v>24328.057489896917</v>
      </c>
      <c r="J156" s="21"/>
      <c r="L156" t="str">
        <f>+G156</f>
        <v>Interest expense</v>
      </c>
      <c r="N156" s="21">
        <f>+I156</f>
        <v>24328.057489896917</v>
      </c>
      <c r="O156" s="21"/>
    </row>
    <row r="157" spans="1:15" x14ac:dyDescent="0.25">
      <c r="B157" s="12"/>
      <c r="C157" s="12" t="str">
        <f t="shared" si="20"/>
        <v>Cash</v>
      </c>
      <c r="D157" s="21"/>
      <c r="E157" s="21">
        <f>+D155+D156</f>
        <v>510889.20728783519</v>
      </c>
      <c r="G157" s="173"/>
      <c r="H157" s="12" t="str">
        <f>+B155</f>
        <v>Debt service - principal</v>
      </c>
      <c r="I157" s="21"/>
      <c r="J157" s="21">
        <f>+D155</f>
        <v>486561.1497979383</v>
      </c>
      <c r="L157" s="173"/>
      <c r="M157" s="12" t="str">
        <f>+C157</f>
        <v>Cash</v>
      </c>
      <c r="N157" s="21"/>
      <c r="O157" s="21">
        <f>+E157</f>
        <v>510889.20728783519</v>
      </c>
    </row>
    <row r="158" spans="1:15" x14ac:dyDescent="0.25">
      <c r="B158" s="13" t="s">
        <v>301</v>
      </c>
      <c r="C158" s="13"/>
      <c r="D158"/>
      <c r="E158"/>
      <c r="G158" s="179"/>
      <c r="H158" s="12" t="str">
        <f>+B156</f>
        <v>Debt service - interest</v>
      </c>
      <c r="I158" s="21"/>
      <c r="J158" s="21">
        <f>+D156</f>
        <v>24328.057489896917</v>
      </c>
      <c r="L158" s="13" t="str">
        <f>+B158</f>
        <v>[To record payment of debt service for 2024]</v>
      </c>
      <c r="M158" s="12"/>
      <c r="N158" s="21"/>
      <c r="O158" s="21"/>
    </row>
    <row r="159" spans="1:15" x14ac:dyDescent="0.25">
      <c r="B159" s="10"/>
      <c r="C159" s="10"/>
      <c r="D159"/>
      <c r="E159"/>
      <c r="N159" s="129"/>
      <c r="O159" s="129"/>
    </row>
    <row r="160" spans="1:15" x14ac:dyDescent="0.25">
      <c r="D160" s="126"/>
      <c r="E160" s="126"/>
      <c r="N160" s="129"/>
      <c r="O160" s="129"/>
    </row>
    <row r="161" spans="1:15" x14ac:dyDescent="0.25">
      <c r="A161" t="s">
        <v>162</v>
      </c>
      <c r="B161" s="11" t="s">
        <v>11</v>
      </c>
      <c r="C161" s="11"/>
      <c r="D161" s="42">
        <f>+E162</f>
        <v>1250000</v>
      </c>
      <c r="E161" s="42"/>
      <c r="H161" s="12" t="s">
        <v>350</v>
      </c>
      <c r="L161" t="str">
        <f t="shared" ref="L161:O163" si="21">B161</f>
        <v>Cash</v>
      </c>
      <c r="M161" s="12"/>
      <c r="N161" s="129">
        <f t="shared" si="21"/>
        <v>1250000</v>
      </c>
      <c r="O161" s="129"/>
    </row>
    <row r="162" spans="1:15" x14ac:dyDescent="0.25">
      <c r="B162" s="11"/>
      <c r="C162" s="11" t="s">
        <v>104</v>
      </c>
      <c r="D162" s="42"/>
      <c r="E162" s="42">
        <f>+'Ex. 3 Entries -CESAS'!D9</f>
        <v>1250000</v>
      </c>
      <c r="M162" t="str">
        <f t="shared" si="21"/>
        <v>Restricted cash - debt service reserve</v>
      </c>
      <c r="N162" s="129"/>
      <c r="O162" s="129">
        <f t="shared" si="21"/>
        <v>1250000</v>
      </c>
    </row>
    <row r="163" spans="1:15" x14ac:dyDescent="0.25">
      <c r="B163" s="13" t="s">
        <v>110</v>
      </c>
      <c r="C163" s="13"/>
      <c r="D163" s="42"/>
      <c r="E163" s="42"/>
      <c r="L163" s="58" t="str">
        <f t="shared" si="21"/>
        <v>[To record release of debt service fund reserve]</v>
      </c>
      <c r="N163" s="129"/>
      <c r="O163" s="129"/>
    </row>
    <row r="164" spans="1:15" x14ac:dyDescent="0.25">
      <c r="D164" s="126"/>
      <c r="E164" s="126"/>
      <c r="N164" s="129"/>
      <c r="O164" s="129"/>
    </row>
    <row r="165" spans="1:15" x14ac:dyDescent="0.25">
      <c r="D165" s="126"/>
      <c r="E165" s="126"/>
      <c r="N165" s="129"/>
      <c r="O165" s="129"/>
    </row>
    <row r="166" spans="1:15" x14ac:dyDescent="0.25">
      <c r="A166" t="s">
        <v>168</v>
      </c>
      <c r="B166" t="str">
        <f>+B141</f>
        <v>County's residual interest in sold revenues</v>
      </c>
      <c r="C166" s="12"/>
      <c r="D166" s="42">
        <f>E167+E168</f>
        <v>4463180.792712165</v>
      </c>
      <c r="E166" s="42"/>
      <c r="G166" s="12" t="s">
        <v>334</v>
      </c>
      <c r="H166" s="180"/>
      <c r="I166" s="21">
        <f>+J167</f>
        <v>4463180.792712165</v>
      </c>
      <c r="J166" s="21"/>
      <c r="L166" s="12" t="str">
        <f>+G166</f>
        <v>Expense - purchase of state aid revenue</v>
      </c>
      <c r="M166" s="180"/>
      <c r="N166" s="21">
        <f>+I166</f>
        <v>4463180.792712165</v>
      </c>
      <c r="O166" s="21"/>
    </row>
    <row r="167" spans="1:15" x14ac:dyDescent="0.25">
      <c r="B167" s="10"/>
      <c r="C167" s="12" t="s">
        <v>103</v>
      </c>
      <c r="D167" s="12"/>
      <c r="E167" s="42">
        <f>+'Ex. 3 Amortization table'!G20</f>
        <v>2000000</v>
      </c>
      <c r="G167" s="173"/>
      <c r="H167" s="180" t="str">
        <f>+B166</f>
        <v>County's residual interest in sold revenues</v>
      </c>
      <c r="I167" s="21"/>
      <c r="J167" s="21">
        <f>+D166</f>
        <v>4463180.792712165</v>
      </c>
      <c r="L167" s="173"/>
      <c r="M167" s="180" t="str">
        <f>+C167</f>
        <v>Deferred outflows of resources</v>
      </c>
      <c r="N167" s="21"/>
      <c r="O167" s="21">
        <f>+E167</f>
        <v>2000000</v>
      </c>
    </row>
    <row r="168" spans="1:15" x14ac:dyDescent="0.25">
      <c r="B168" s="10"/>
      <c r="C168" s="11" t="s">
        <v>11</v>
      </c>
      <c r="D168"/>
      <c r="E168" s="42">
        <f>+'Ex. 3 Amortization table'!F20</f>
        <v>2463180.792712165</v>
      </c>
      <c r="G168" s="173"/>
      <c r="H168" s="12"/>
      <c r="I168" s="21"/>
      <c r="J168" s="21"/>
      <c r="L168" s="173"/>
      <c r="M168" s="12" t="str">
        <f>+C168</f>
        <v>Cash</v>
      </c>
      <c r="N168" s="21"/>
      <c r="O168" s="21">
        <f>+E168</f>
        <v>2463180.792712165</v>
      </c>
    </row>
    <row r="169" spans="1:15" x14ac:dyDescent="0.25">
      <c r="B169" s="13" t="s">
        <v>121</v>
      </c>
      <c r="D169" s="126"/>
      <c r="E169" s="126"/>
      <c r="G169" s="173"/>
      <c r="H169" s="12"/>
      <c r="I169" s="21"/>
      <c r="J169" s="21"/>
      <c r="L169" s="13" t="s">
        <v>121</v>
      </c>
      <c r="M169" s="12"/>
      <c r="N169" s="21"/>
      <c r="O169" s="21"/>
    </row>
    <row r="170" spans="1:15" x14ac:dyDescent="0.25">
      <c r="B170" s="13" t="s">
        <v>122</v>
      </c>
      <c r="C170" s="13"/>
      <c r="D170"/>
      <c r="E170" s="42"/>
      <c r="G170" s="173"/>
      <c r="H170" s="12"/>
      <c r="I170" s="21"/>
      <c r="J170" s="21"/>
      <c r="L170" s="13" t="str">
        <f t="shared" ref="L170" si="22">B170</f>
        <v>residual interest to County of Example]</v>
      </c>
      <c r="M170" s="12"/>
      <c r="N170" s="21"/>
      <c r="O170" s="21"/>
    </row>
    <row r="171" spans="1:15" x14ac:dyDescent="0.25">
      <c r="D171" s="126"/>
      <c r="E171" s="126"/>
      <c r="G171" s="173"/>
      <c r="H171" s="12"/>
      <c r="I171" s="21"/>
      <c r="J171" s="21"/>
      <c r="L171" s="173"/>
      <c r="M171" s="12"/>
      <c r="N171" s="21"/>
      <c r="O171" s="21"/>
    </row>
    <row r="172" spans="1:15" x14ac:dyDescent="0.25">
      <c r="C172" s="13"/>
      <c r="D172"/>
      <c r="E172" s="42"/>
      <c r="N172" s="129"/>
      <c r="O172" s="129"/>
    </row>
    <row r="173" spans="1:15" x14ac:dyDescent="0.25">
      <c r="D173" s="126"/>
      <c r="E173"/>
      <c r="N173" s="129"/>
      <c r="O173" s="129"/>
    </row>
    <row r="174" spans="1:15" x14ac:dyDescent="0.25">
      <c r="A174" s="46">
        <v>2035</v>
      </c>
      <c r="C174" s="12" t="s">
        <v>123</v>
      </c>
      <c r="D174"/>
      <c r="E174" s="42"/>
      <c r="N174" s="129"/>
      <c r="O174" s="129"/>
    </row>
    <row r="175" spans="1:15" x14ac:dyDescent="0.25">
      <c r="D175" s="126"/>
      <c r="E175" s="126"/>
      <c r="N175" s="129"/>
      <c r="O175" s="129"/>
    </row>
    <row r="176" spans="1:15" x14ac:dyDescent="0.25">
      <c r="N176" s="129"/>
      <c r="O176" s="129"/>
    </row>
    <row r="177" spans="1:15" ht="15.75" thickBot="1" x14ac:dyDescent="0.3">
      <c r="A177" t="s">
        <v>367</v>
      </c>
      <c r="D177" s="188">
        <f>SUM(D8:D176)-SUM(E8:E176)</f>
        <v>0</v>
      </c>
      <c r="I177" s="188">
        <f>SUM(I8:I176)-SUM(J8:J176)</f>
        <v>0</v>
      </c>
      <c r="N177" s="188">
        <f>SUM(N8:N176)-SUM(O8:O176)</f>
        <v>0</v>
      </c>
      <c r="O177" s="129"/>
    </row>
    <row r="178" spans="1:15" ht="15.75" thickTop="1" x14ac:dyDescent="0.25"/>
  </sheetData>
  <mergeCells count="5">
    <mergeCell ref="A1:O1"/>
    <mergeCell ref="G5:J5"/>
    <mergeCell ref="A5:E5"/>
    <mergeCell ref="L5:O5"/>
    <mergeCell ref="B6:C6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130"/>
  <sheetViews>
    <sheetView workbookViewId="0"/>
    <sheetView workbookViewId="1"/>
  </sheetViews>
  <sheetFormatPr defaultRowHeight="15" x14ac:dyDescent="0.25"/>
  <cols>
    <col min="2" max="2" width="5.7109375" bestFit="1" customWidth="1"/>
    <col min="3" max="3" width="13.42578125" customWidth="1"/>
    <col min="4" max="4" width="1.85546875" customWidth="1"/>
    <col min="5" max="5" width="7.28515625" style="59" bestFit="1" customWidth="1"/>
    <col min="6" max="6" width="12.42578125" bestFit="1" customWidth="1"/>
    <col min="7" max="7" width="3.5703125" customWidth="1"/>
    <col min="8" max="8" width="5.7109375" bestFit="1" customWidth="1"/>
    <col min="9" max="9" width="13.140625" customWidth="1"/>
    <col min="10" max="10" width="1.85546875" customWidth="1"/>
    <col min="11" max="11" width="7.28515625" style="59" bestFit="1" customWidth="1"/>
    <col min="12" max="12" width="13.42578125" bestFit="1" customWidth="1"/>
    <col min="13" max="13" width="3.42578125" customWidth="1"/>
    <col min="14" max="14" width="5.7109375" bestFit="1" customWidth="1"/>
    <col min="15" max="15" width="14" customWidth="1"/>
    <col min="16" max="16" width="1.85546875" customWidth="1"/>
    <col min="17" max="17" width="5.7109375" style="59" bestFit="1" customWidth="1"/>
    <col min="18" max="18" width="13" bestFit="1" customWidth="1"/>
    <col min="19" max="19" width="3.5703125" customWidth="1"/>
    <col min="20" max="20" width="3.42578125" style="47" customWidth="1"/>
    <col min="21" max="21" width="3.42578125" customWidth="1"/>
    <col min="22" max="22" width="5.7109375" bestFit="1" customWidth="1"/>
    <col min="23" max="23" width="14.28515625" customWidth="1"/>
    <col min="24" max="24" width="1.7109375" customWidth="1"/>
    <col min="25" max="25" width="5.7109375" bestFit="1" customWidth="1"/>
    <col min="26" max="26" width="13.42578125" bestFit="1" customWidth="1"/>
    <col min="27" max="27" width="3.5703125" customWidth="1"/>
    <col min="28" max="28" width="6.42578125" bestFit="1" customWidth="1"/>
    <col min="29" max="29" width="13.140625" customWidth="1"/>
    <col min="30" max="30" width="1.5703125" customWidth="1"/>
    <col min="31" max="31" width="5.7109375" bestFit="1" customWidth="1"/>
    <col min="32" max="32" width="13" customWidth="1"/>
    <col min="33" max="33" width="3.5703125" customWidth="1"/>
    <col min="34" max="34" width="9.7109375" customWidth="1"/>
    <col min="35" max="35" width="12.42578125" bestFit="1" customWidth="1"/>
    <col min="36" max="36" width="1.140625" customWidth="1"/>
    <col min="37" max="37" width="7.85546875" bestFit="1" customWidth="1"/>
    <col min="38" max="38" width="13.5703125" customWidth="1"/>
    <col min="39" max="39" width="3.5703125" customWidth="1"/>
    <col min="40" max="40" width="3.28515625" customWidth="1"/>
    <col min="41" max="41" width="7.42578125" customWidth="1"/>
    <col min="42" max="42" width="15.7109375" customWidth="1"/>
    <col min="43" max="43" width="1.28515625" customWidth="1"/>
    <col min="45" max="45" width="14.7109375" customWidth="1"/>
  </cols>
  <sheetData>
    <row r="1" spans="1:45" x14ac:dyDescent="0.25">
      <c r="B1" s="251" t="s">
        <v>213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V1" s="251" t="s">
        <v>358</v>
      </c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</row>
    <row r="2" spans="1:45" ht="18.75" x14ac:dyDescent="0.25">
      <c r="A2" s="174" t="s">
        <v>348</v>
      </c>
      <c r="Y2" s="59"/>
      <c r="AE2" s="59"/>
      <c r="AK2" s="59"/>
    </row>
    <row r="3" spans="1:45" x14ac:dyDescent="0.25">
      <c r="Y3" s="59"/>
      <c r="AE3" s="59"/>
      <c r="AK3" s="59"/>
    </row>
    <row r="4" spans="1:45" ht="28.5" customHeight="1" x14ac:dyDescent="0.25">
      <c r="B4" s="264" t="s">
        <v>11</v>
      </c>
      <c r="C4" s="264"/>
      <c r="D4" s="264"/>
      <c r="E4" s="264"/>
      <c r="F4" s="264"/>
      <c r="H4" s="265" t="s">
        <v>340</v>
      </c>
      <c r="I4" s="265"/>
      <c r="J4" s="265"/>
      <c r="K4" s="265"/>
      <c r="L4" s="265"/>
      <c r="N4" s="265" t="s">
        <v>425</v>
      </c>
      <c r="O4" s="265"/>
      <c r="P4" s="265"/>
      <c r="Q4" s="265"/>
      <c r="R4" s="265"/>
      <c r="V4" s="264" t="s">
        <v>11</v>
      </c>
      <c r="W4" s="264"/>
      <c r="X4" s="264"/>
      <c r="Y4" s="264"/>
      <c r="Z4" s="264"/>
      <c r="AB4" s="264" t="s">
        <v>104</v>
      </c>
      <c r="AC4" s="264"/>
      <c r="AD4" s="264"/>
      <c r="AE4" s="264"/>
      <c r="AF4" s="264"/>
      <c r="AH4" s="265" t="s">
        <v>245</v>
      </c>
      <c r="AI4" s="264"/>
      <c r="AJ4" s="264"/>
      <c r="AK4" s="264"/>
      <c r="AL4" s="264"/>
      <c r="AO4" s="265" t="s">
        <v>368</v>
      </c>
      <c r="AP4" s="264"/>
      <c r="AQ4" s="264"/>
      <c r="AR4" s="264"/>
      <c r="AS4" s="264"/>
    </row>
    <row r="5" spans="1:45" x14ac:dyDescent="0.25">
      <c r="C5" s="79"/>
      <c r="I5" s="79"/>
      <c r="O5" s="79"/>
      <c r="W5" s="79"/>
      <c r="Y5" s="59"/>
      <c r="AC5" s="79"/>
      <c r="AE5" s="59"/>
      <c r="AI5" s="79"/>
      <c r="AK5" s="59"/>
      <c r="AP5" s="79"/>
      <c r="AR5" s="59"/>
    </row>
    <row r="6" spans="1:45" x14ac:dyDescent="0.25">
      <c r="B6" t="s">
        <v>215</v>
      </c>
      <c r="C6" s="80">
        <f>+'Ex. 3 Entries -County'!D7</f>
        <v>10500000</v>
      </c>
      <c r="D6" s="67"/>
      <c r="H6" t="s">
        <v>226</v>
      </c>
      <c r="I6" s="80">
        <f>+'Ex. 3 Entries -County'!D15</f>
        <v>1000000</v>
      </c>
      <c r="K6" t="s">
        <v>215</v>
      </c>
      <c r="L6" s="83">
        <f>+'Ex. 3 Entries -County'!E9</f>
        <v>15000000</v>
      </c>
      <c r="N6" t="s">
        <v>215</v>
      </c>
      <c r="O6" s="80">
        <f>+'Ex. 3 Entries -County'!D8</f>
        <v>4500000</v>
      </c>
      <c r="Q6" t="s">
        <v>226</v>
      </c>
      <c r="R6" s="83">
        <f>+'Ex. 3 Entries -County'!E16</f>
        <v>1265000</v>
      </c>
      <c r="V6" t="s">
        <v>215</v>
      </c>
      <c r="W6" s="80">
        <f>+'Ex. 3 Entries -CESAS'!D8</f>
        <v>10500000</v>
      </c>
      <c r="X6" s="67"/>
      <c r="Y6" s="59" t="s">
        <v>226</v>
      </c>
      <c r="Z6" s="83">
        <f>+'Ex. 3 Entries -CESAS'!E19</f>
        <v>10500000</v>
      </c>
      <c r="AB6" t="s">
        <v>215</v>
      </c>
      <c r="AC6" s="80">
        <f>+'Ex. 3 Entries -CESAS'!D9</f>
        <v>1250000</v>
      </c>
      <c r="AD6" s="67"/>
      <c r="AE6" s="59" t="s">
        <v>293</v>
      </c>
      <c r="AF6" s="83">
        <v>1250000</v>
      </c>
      <c r="AH6" s="143" t="s">
        <v>226</v>
      </c>
      <c r="AI6" s="80">
        <f>+'Ex. 3 Entries -CESAS'!D17</f>
        <v>15000000</v>
      </c>
      <c r="AJ6" s="67"/>
      <c r="AK6" s="59" t="s">
        <v>254</v>
      </c>
      <c r="AL6" s="83">
        <f>+'Ex. 3 Entries -CESAS'!E39</f>
        <v>1000000</v>
      </c>
      <c r="AO6" s="37" t="s">
        <v>254</v>
      </c>
      <c r="AP6" s="80">
        <f>+'Ex. 3 Entries -CESAS'!D37</f>
        <v>1265000</v>
      </c>
      <c r="AQ6" s="67"/>
      <c r="AR6" s="59" t="s">
        <v>226</v>
      </c>
      <c r="AS6" s="83">
        <f>+'Ex. 3 Entries -CESAS'!E18</f>
        <v>4500000</v>
      </c>
    </row>
    <row r="7" spans="1:45" x14ac:dyDescent="0.25">
      <c r="B7" t="s">
        <v>226</v>
      </c>
      <c r="C7" s="81">
        <f>+'Ex. 3 Entries -County'!D14</f>
        <v>265000</v>
      </c>
      <c r="D7" s="1"/>
      <c r="H7" s="132" t="s">
        <v>227</v>
      </c>
      <c r="I7" s="81">
        <f>+'Ex. 3 Entries -County'!D24</f>
        <v>1000000</v>
      </c>
      <c r="K7" s="86"/>
      <c r="L7" s="1"/>
      <c r="N7" s="132"/>
      <c r="O7" s="81"/>
      <c r="Q7" s="132" t="s">
        <v>227</v>
      </c>
      <c r="R7" s="1">
        <f>+'Ex. 3 Entries -County'!E25</f>
        <v>1280150</v>
      </c>
      <c r="V7" s="37" t="s">
        <v>252</v>
      </c>
      <c r="W7" s="81">
        <f>+'Ex. 3 Entries -CESAS'!D26</f>
        <v>1515000</v>
      </c>
      <c r="X7" s="1"/>
      <c r="Y7" s="37" t="s">
        <v>253</v>
      </c>
      <c r="Z7" s="1">
        <f>+'Ex. 3 Entries -CESAS'!E33</f>
        <v>1250000</v>
      </c>
      <c r="AB7" s="37"/>
      <c r="AC7" s="81"/>
      <c r="AH7" s="37"/>
      <c r="AI7" s="81"/>
      <c r="AK7" t="s">
        <v>257</v>
      </c>
      <c r="AL7" s="1">
        <f>+'Ex. 3 Entries -CESAS'!E60</f>
        <v>1000000</v>
      </c>
      <c r="AN7" s="1"/>
      <c r="AO7" t="s">
        <v>257</v>
      </c>
      <c r="AP7" s="81">
        <f>+'Ex. 3 Entries -CESAS'!D58</f>
        <v>1280150</v>
      </c>
      <c r="AQ7" s="1"/>
      <c r="AR7" s="59"/>
      <c r="AS7" s="1"/>
    </row>
    <row r="8" spans="1:45" x14ac:dyDescent="0.25">
      <c r="B8" s="132" t="s">
        <v>227</v>
      </c>
      <c r="C8" s="81">
        <f>+'Ex. 3 Entries -County'!D23</f>
        <v>280150</v>
      </c>
      <c r="H8" s="132" t="s">
        <v>228</v>
      </c>
      <c r="I8" s="81">
        <f>+'Ex. 3 Entries -County'!D32</f>
        <v>1000000</v>
      </c>
      <c r="L8" s="1"/>
      <c r="N8" s="132"/>
      <c r="O8" s="81"/>
      <c r="Q8" s="132" t="s">
        <v>228</v>
      </c>
      <c r="R8" s="1">
        <f>+'Ex. 3 Entries -County'!E33</f>
        <v>1295450</v>
      </c>
      <c r="W8" s="81"/>
      <c r="Y8" s="86" t="s">
        <v>254</v>
      </c>
      <c r="Z8" s="1">
        <f>+'Ex. 3 Entries -CESAS'!E40</f>
        <v>265000</v>
      </c>
      <c r="AB8" s="37"/>
      <c r="AC8" s="81"/>
      <c r="AH8" s="37"/>
      <c r="AI8" s="81"/>
      <c r="AK8" t="s">
        <v>260</v>
      </c>
      <c r="AL8" s="1">
        <f>+'Ex. 3 Entries -CESAS'!E80</f>
        <v>1000000</v>
      </c>
      <c r="AN8" s="1"/>
      <c r="AO8" t="s">
        <v>260</v>
      </c>
      <c r="AP8" s="81">
        <f>+'Ex. 3 Entries -CESAS'!D78</f>
        <v>1295450</v>
      </c>
      <c r="AR8" s="59"/>
      <c r="AS8" s="1"/>
    </row>
    <row r="9" spans="1:45" x14ac:dyDescent="0.25">
      <c r="B9" s="132" t="s">
        <v>228</v>
      </c>
      <c r="C9" s="81">
        <f>+'Ex. 3 Entries -County'!D31</f>
        <v>295450</v>
      </c>
      <c r="H9" s="132" t="s">
        <v>229</v>
      </c>
      <c r="I9" s="81">
        <f>+'Ex. 3 Amortization table'!G10</f>
        <v>1000000</v>
      </c>
      <c r="N9" s="132"/>
      <c r="O9" s="81"/>
      <c r="Q9" s="132" t="s">
        <v>229</v>
      </c>
      <c r="R9" s="1">
        <f>+'Ex. 3 Amortization table'!G10+'Ex. 3 Amortization table'!F10-651500</f>
        <v>659400</v>
      </c>
      <c r="V9" s="37" t="s">
        <v>255</v>
      </c>
      <c r="W9" s="81">
        <f>+'Ex. 3 Entries -CESAS'!D47</f>
        <v>1530150</v>
      </c>
      <c r="Y9" s="86" t="s">
        <v>256</v>
      </c>
      <c r="Z9" s="1">
        <f>+'Ex. 3 Entries -CESAS'!E54</f>
        <v>1250000</v>
      </c>
      <c r="AB9" s="86"/>
      <c r="AC9" s="81"/>
      <c r="AE9" s="59"/>
      <c r="AF9" s="1"/>
      <c r="AH9" s="86"/>
      <c r="AI9" s="81"/>
      <c r="AK9" t="s">
        <v>273</v>
      </c>
      <c r="AL9" s="1">
        <f>+'Ex. 3 Amortization table'!G10</f>
        <v>1000000</v>
      </c>
      <c r="AN9" s="1"/>
      <c r="AO9" s="59">
        <v>2024</v>
      </c>
      <c r="AP9" s="81">
        <f>+'Ex. 3 Amortization table'!F10+'Ex. 3 Amortization table'!G10-651500</f>
        <v>659400</v>
      </c>
      <c r="AR9" s="59"/>
      <c r="AS9" s="1"/>
    </row>
    <row r="10" spans="1:45" x14ac:dyDescent="0.25">
      <c r="B10" s="132" t="s">
        <v>229</v>
      </c>
      <c r="C10" s="81">
        <f>+'Ex. 3 Amortization table'!F10</f>
        <v>310900</v>
      </c>
      <c r="H10" s="132" t="s">
        <v>230</v>
      </c>
      <c r="I10" s="81">
        <f>+'Ex. 3 Amortization table'!G11</f>
        <v>1000000</v>
      </c>
      <c r="N10" s="132"/>
      <c r="O10" s="81"/>
      <c r="V10" s="37"/>
      <c r="W10" s="81"/>
      <c r="Y10" s="86" t="s">
        <v>257</v>
      </c>
      <c r="Z10" s="1">
        <f>+'Ex. 3 Entries -CESAS'!E61</f>
        <v>280150</v>
      </c>
      <c r="AB10" s="86"/>
      <c r="AC10" s="81"/>
      <c r="AE10" s="59"/>
      <c r="AF10" s="1"/>
      <c r="AH10" s="86"/>
      <c r="AI10" s="81"/>
      <c r="AK10" t="s">
        <v>275</v>
      </c>
      <c r="AL10" s="1">
        <f>+'Ex. 3 Amortization table'!G11</f>
        <v>1000000</v>
      </c>
      <c r="AN10" s="1"/>
      <c r="AP10" s="82"/>
      <c r="AR10" s="59"/>
      <c r="AS10" s="1"/>
    </row>
    <row r="11" spans="1:45" x14ac:dyDescent="0.25">
      <c r="B11" s="132" t="s">
        <v>230</v>
      </c>
      <c r="C11" s="81">
        <f>+'Ex. 3 Amortization table'!F11</f>
        <v>326500</v>
      </c>
      <c r="H11" s="132" t="s">
        <v>231</v>
      </c>
      <c r="I11" s="81">
        <f>+'Ex. 3 Amortization table'!G12</f>
        <v>1000000</v>
      </c>
      <c r="N11" s="132"/>
      <c r="O11" s="81"/>
      <c r="V11" s="37" t="s">
        <v>258</v>
      </c>
      <c r="W11" s="81">
        <f>+'Ex. 3 Entries -CESAS'!D67</f>
        <v>1545450</v>
      </c>
      <c r="Y11" s="86" t="s">
        <v>259</v>
      </c>
      <c r="Z11" s="1">
        <f>+'Ex. 3 Entries -CESAS'!E74</f>
        <v>1250000</v>
      </c>
      <c r="AB11" s="86"/>
      <c r="AC11" s="81"/>
      <c r="AE11" s="59"/>
      <c r="AF11" s="1"/>
      <c r="AH11" s="86"/>
      <c r="AI11" s="81"/>
      <c r="AK11" t="s">
        <v>277</v>
      </c>
      <c r="AL11" s="1">
        <f>+'Ex. 3 Amortization table'!G12</f>
        <v>1000000</v>
      </c>
      <c r="AN11" s="1"/>
      <c r="AP11" s="82"/>
      <c r="AR11" s="59"/>
      <c r="AS11" s="1"/>
    </row>
    <row r="12" spans="1:45" x14ac:dyDescent="0.25">
      <c r="B12" s="132" t="s">
        <v>231</v>
      </c>
      <c r="C12" s="81">
        <f>+'Ex. 3 Amortization table'!F12</f>
        <v>342250</v>
      </c>
      <c r="H12" s="132" t="s">
        <v>232</v>
      </c>
      <c r="I12" s="81">
        <f>+'Ex. 3 Amortization table'!G13</f>
        <v>1000000</v>
      </c>
      <c r="N12" s="132"/>
      <c r="O12" s="81"/>
      <c r="V12" s="37"/>
      <c r="W12" s="81"/>
      <c r="Y12" s="86" t="s">
        <v>260</v>
      </c>
      <c r="Z12" s="1">
        <f>+'Ex. 3 Entries -CESAS'!E81</f>
        <v>295450</v>
      </c>
      <c r="AB12" s="86"/>
      <c r="AC12" s="81"/>
      <c r="AE12" s="59"/>
      <c r="AF12" s="1"/>
      <c r="AH12" s="86"/>
      <c r="AI12" s="81"/>
      <c r="AK12" t="s">
        <v>279</v>
      </c>
      <c r="AL12" s="1">
        <f>+'Ex. 3 Amortization table'!G13</f>
        <v>1000000</v>
      </c>
      <c r="AN12" s="1"/>
      <c r="AP12" s="82"/>
      <c r="AR12" s="59"/>
      <c r="AS12" s="1"/>
    </row>
    <row r="13" spans="1:45" x14ac:dyDescent="0.25">
      <c r="B13" s="132" t="s">
        <v>232</v>
      </c>
      <c r="C13" s="81">
        <f>+'Ex. 3 Amortization table'!F13</f>
        <v>358150</v>
      </c>
      <c r="H13" s="132" t="s">
        <v>233</v>
      </c>
      <c r="I13" s="81">
        <f>+'Ex. 3 Amortization table'!G14</f>
        <v>1000000</v>
      </c>
      <c r="N13" s="132"/>
      <c r="O13" s="81"/>
      <c r="V13" s="37" t="s">
        <v>261</v>
      </c>
      <c r="W13" s="81">
        <f>+'Ex. 3 Amortization table'!E10</f>
        <v>1560900</v>
      </c>
      <c r="Y13" s="86" t="s">
        <v>272</v>
      </c>
      <c r="Z13" s="1">
        <f>+'Ex. 3 Amortization table'!I10</f>
        <v>1250000</v>
      </c>
      <c r="AB13" s="86"/>
      <c r="AC13" s="81"/>
      <c r="AE13" s="59"/>
      <c r="AF13" s="1"/>
      <c r="AH13" s="86"/>
      <c r="AI13" s="81"/>
      <c r="AK13" t="s">
        <v>281</v>
      </c>
      <c r="AL13" s="1">
        <f>+'Ex. 3 Amortization table'!G14</f>
        <v>1000000</v>
      </c>
      <c r="AN13" s="1"/>
      <c r="AP13" s="82"/>
      <c r="AR13" s="59"/>
      <c r="AS13" s="1"/>
    </row>
    <row r="14" spans="1:45" x14ac:dyDescent="0.25">
      <c r="B14" s="132" t="s">
        <v>233</v>
      </c>
      <c r="C14" s="81">
        <f>+'Ex. 3 Amortization table'!F14</f>
        <v>374230</v>
      </c>
      <c r="H14" s="132" t="s">
        <v>234</v>
      </c>
      <c r="I14" s="81">
        <f>+'Ex. 3 Amortization table'!G15</f>
        <v>1000000</v>
      </c>
      <c r="N14" s="132"/>
      <c r="O14" s="81"/>
      <c r="V14" s="37"/>
      <c r="W14" s="81"/>
      <c r="Y14" s="86" t="s">
        <v>273</v>
      </c>
      <c r="Z14" s="1">
        <f>+'Ex. 3 Amortization table'!F10</f>
        <v>310900</v>
      </c>
      <c r="AB14" s="86"/>
      <c r="AC14" s="81"/>
      <c r="AE14" s="59"/>
      <c r="AF14" s="1"/>
      <c r="AH14" s="86"/>
      <c r="AI14" s="81"/>
      <c r="AK14" t="s">
        <v>283</v>
      </c>
      <c r="AL14" s="1">
        <f>+'Ex. 3 Amortization table'!G15</f>
        <v>1000000</v>
      </c>
      <c r="AN14" s="1"/>
      <c r="AP14" s="82"/>
      <c r="AR14" s="59"/>
      <c r="AS14" s="1"/>
    </row>
    <row r="15" spans="1:45" x14ac:dyDescent="0.25">
      <c r="B15" s="132" t="s">
        <v>234</v>
      </c>
      <c r="C15" s="81">
        <f>+'Ex. 3 Amortization table'!F15</f>
        <v>390460</v>
      </c>
      <c r="H15" s="132" t="s">
        <v>235</v>
      </c>
      <c r="I15" s="81">
        <f>+'Ex. 3 Amortization table'!G16</f>
        <v>1000000</v>
      </c>
      <c r="N15" s="132"/>
      <c r="O15" s="81"/>
      <c r="V15" s="37" t="s">
        <v>262</v>
      </c>
      <c r="W15" s="81">
        <f>+'Ex. 3 Amortization table'!E11</f>
        <v>1576500</v>
      </c>
      <c r="Y15" s="86" t="s">
        <v>274</v>
      </c>
      <c r="Z15" s="1">
        <f>+'Ex. 3 Amortization table'!I11</f>
        <v>1250000</v>
      </c>
      <c r="AB15" s="86"/>
      <c r="AC15" s="81"/>
      <c r="AE15" s="59"/>
      <c r="AF15" s="1"/>
      <c r="AH15" s="86"/>
      <c r="AI15" s="81"/>
      <c r="AK15" t="s">
        <v>285</v>
      </c>
      <c r="AL15" s="1">
        <f>+'Ex. 3 Amortization table'!G16</f>
        <v>1000000</v>
      </c>
      <c r="AN15" s="1"/>
      <c r="AP15" s="82"/>
      <c r="AR15" s="59"/>
      <c r="AS15" s="1"/>
    </row>
    <row r="16" spans="1:45" x14ac:dyDescent="0.25">
      <c r="B16" s="132" t="s">
        <v>235</v>
      </c>
      <c r="C16" s="81">
        <f>+'Ex. 3 Amortization table'!F16</f>
        <v>406840</v>
      </c>
      <c r="H16" s="132" t="s">
        <v>236</v>
      </c>
      <c r="I16" s="81">
        <f>+'Ex. 3 Amortization table'!G17</f>
        <v>1000000</v>
      </c>
      <c r="N16" s="132"/>
      <c r="O16" s="81"/>
      <c r="V16" s="37"/>
      <c r="W16" s="81"/>
      <c r="Y16" s="86" t="s">
        <v>275</v>
      </c>
      <c r="Z16" s="1">
        <f>+'Ex. 3 Amortization table'!F11</f>
        <v>326500</v>
      </c>
      <c r="AB16" s="86"/>
      <c r="AC16" s="81"/>
      <c r="AE16" s="59"/>
      <c r="AF16" s="1"/>
      <c r="AH16" s="86"/>
      <c r="AI16" s="81"/>
      <c r="AK16" t="s">
        <v>287</v>
      </c>
      <c r="AL16" s="1">
        <f>+'Ex. 3 Amortization table'!G17</f>
        <v>1000000</v>
      </c>
      <c r="AN16" s="1"/>
      <c r="AP16" s="82"/>
      <c r="AR16" s="59"/>
      <c r="AS16" s="1"/>
    </row>
    <row r="17" spans="2:45" x14ac:dyDescent="0.25">
      <c r="B17" s="132" t="s">
        <v>236</v>
      </c>
      <c r="C17" s="81">
        <f>+'Ex. 3 Amortization table'!F17</f>
        <v>423400</v>
      </c>
      <c r="H17" s="132" t="s">
        <v>237</v>
      </c>
      <c r="I17" s="81">
        <f>+'Ex. 3 Amortization table'!G18</f>
        <v>1000000</v>
      </c>
      <c r="N17" s="132"/>
      <c r="O17" s="81"/>
      <c r="V17" s="37" t="s">
        <v>263</v>
      </c>
      <c r="W17" s="81">
        <f>+'Ex. 3 Amortization table'!E12</f>
        <v>1592250</v>
      </c>
      <c r="Y17" s="86" t="s">
        <v>276</v>
      </c>
      <c r="Z17" s="1">
        <f>+'Ex. 3 Amortization table'!I13</f>
        <v>1250000</v>
      </c>
      <c r="AB17" s="86"/>
      <c r="AC17" s="81"/>
      <c r="AE17" s="59"/>
      <c r="AF17" s="1"/>
      <c r="AH17" s="86"/>
      <c r="AI17" s="81"/>
      <c r="AK17" t="s">
        <v>289</v>
      </c>
      <c r="AL17" s="1">
        <f>+'Ex. 3 Amortization table'!G18</f>
        <v>1000000</v>
      </c>
      <c r="AN17" s="1"/>
      <c r="AP17" s="82"/>
      <c r="AR17" s="59"/>
      <c r="AS17" s="1"/>
    </row>
    <row r="18" spans="2:45" x14ac:dyDescent="0.25">
      <c r="B18" s="132" t="s">
        <v>237</v>
      </c>
      <c r="C18" s="81">
        <f>+'Ex. 3 Amortization table'!F18</f>
        <v>440110</v>
      </c>
      <c r="H18" s="132" t="s">
        <v>238</v>
      </c>
      <c r="I18" s="81">
        <f>+'Ex. 3 Amortization table'!G19</f>
        <v>1000000</v>
      </c>
      <c r="N18" s="132"/>
      <c r="O18" s="81"/>
      <c r="V18" s="37"/>
      <c r="W18" s="81"/>
      <c r="Y18" s="86" t="s">
        <v>277</v>
      </c>
      <c r="Z18" s="1">
        <f>+'Ex. 3 Amortization table'!F12</f>
        <v>342250</v>
      </c>
      <c r="AB18" s="86"/>
      <c r="AC18" s="81"/>
      <c r="AE18" s="59"/>
      <c r="AF18" s="1"/>
      <c r="AH18" s="86"/>
      <c r="AI18" s="81"/>
      <c r="AK18" t="s">
        <v>291</v>
      </c>
      <c r="AL18" s="1">
        <f>+'Ex. 3 Amortization table'!G19</f>
        <v>1000000</v>
      </c>
      <c r="AN18" s="1"/>
      <c r="AP18" s="82"/>
      <c r="AR18" s="59"/>
      <c r="AS18" s="1"/>
    </row>
    <row r="19" spans="2:45" x14ac:dyDescent="0.25">
      <c r="B19" s="132" t="s">
        <v>238</v>
      </c>
      <c r="C19" s="81">
        <f>+'Ex. 3 Amortization table'!F19</f>
        <v>457000</v>
      </c>
      <c r="H19" s="132" t="s">
        <v>239</v>
      </c>
      <c r="I19" s="133">
        <f>+'Ex. 3 Amortization table'!G20</f>
        <v>2000000</v>
      </c>
      <c r="N19" s="132"/>
      <c r="O19" s="133"/>
      <c r="V19" s="37" t="s">
        <v>264</v>
      </c>
      <c r="W19" s="81">
        <f>+'Ex. 3 Amortization table'!E13</f>
        <v>1608150</v>
      </c>
      <c r="Y19" s="86" t="s">
        <v>278</v>
      </c>
      <c r="Z19" s="1">
        <f>+'Ex. 3 Amortization table'!I14</f>
        <v>1250000</v>
      </c>
      <c r="AB19" s="86"/>
      <c r="AC19" s="81"/>
      <c r="AE19" s="59"/>
      <c r="AF19" s="1"/>
      <c r="AH19" s="86"/>
      <c r="AI19" s="81"/>
      <c r="AK19" t="s">
        <v>273</v>
      </c>
      <c r="AL19" s="1">
        <f>+'Ex. 3 Amortization table'!G20</f>
        <v>2000000</v>
      </c>
      <c r="AN19" s="1"/>
      <c r="AP19" s="82"/>
      <c r="AR19" s="59"/>
      <c r="AS19" s="1"/>
    </row>
    <row r="20" spans="2:45" x14ac:dyDescent="0.25">
      <c r="B20" s="132" t="s">
        <v>239</v>
      </c>
      <c r="C20" s="133">
        <f>+'Ex. 3 Amortization table'!F20</f>
        <v>2463180.792712165</v>
      </c>
      <c r="I20" s="81"/>
      <c r="O20" s="81"/>
      <c r="V20" s="37"/>
      <c r="W20" s="81"/>
      <c r="Y20" s="86" t="s">
        <v>279</v>
      </c>
      <c r="Z20" s="1">
        <f>+'Ex. 3 Amortization table'!F13</f>
        <v>358150</v>
      </c>
      <c r="AB20" s="86"/>
      <c r="AC20" s="81"/>
      <c r="AE20" s="59"/>
      <c r="AF20" s="1"/>
      <c r="AH20" s="86"/>
      <c r="AI20" s="81"/>
      <c r="AK20" s="59"/>
      <c r="AL20" s="1"/>
      <c r="AN20" s="1"/>
      <c r="AP20" s="81"/>
      <c r="AR20" s="59"/>
      <c r="AS20" s="1"/>
    </row>
    <row r="21" spans="2:45" x14ac:dyDescent="0.25">
      <c r="B21" s="132" t="s">
        <v>240</v>
      </c>
      <c r="C21" s="81">
        <f>+'Ex. 3 Amortization table'!F21</f>
        <v>1741290</v>
      </c>
      <c r="I21" s="81"/>
      <c r="O21" s="81"/>
      <c r="V21" s="37" t="s">
        <v>265</v>
      </c>
      <c r="W21" s="81">
        <f>+'Ex. 3 Amortization table'!E14</f>
        <v>1624230</v>
      </c>
      <c r="Y21" s="86" t="s">
        <v>280</v>
      </c>
      <c r="Z21" s="1">
        <f>+'Ex. 3 Amortization table'!I15</f>
        <v>1250000</v>
      </c>
      <c r="AB21" s="86"/>
      <c r="AC21" s="81"/>
      <c r="AE21" s="59"/>
      <c r="AF21" s="1"/>
      <c r="AH21" s="86"/>
      <c r="AI21" s="81"/>
      <c r="AK21" s="59"/>
      <c r="AL21" s="1"/>
      <c r="AN21" s="1"/>
      <c r="AP21" s="81"/>
      <c r="AR21" s="59"/>
      <c r="AS21" s="1"/>
    </row>
    <row r="22" spans="2:45" x14ac:dyDescent="0.25">
      <c r="C22" s="81"/>
      <c r="I22" s="81"/>
      <c r="O22" s="81"/>
      <c r="V22" s="37"/>
      <c r="W22" s="81"/>
      <c r="Y22" s="86" t="s">
        <v>281</v>
      </c>
      <c r="Z22" s="1">
        <f>+'Ex. 3 Amortization table'!F14</f>
        <v>374230</v>
      </c>
      <c r="AB22" s="86"/>
      <c r="AC22" s="81"/>
      <c r="AE22" s="59"/>
      <c r="AF22" s="1"/>
      <c r="AH22" s="86"/>
      <c r="AI22" s="81"/>
      <c r="AK22" s="59"/>
      <c r="AL22" s="1"/>
      <c r="AP22" s="81"/>
      <c r="AR22" s="59"/>
      <c r="AS22" s="1"/>
    </row>
    <row r="23" spans="2:45" x14ac:dyDescent="0.25">
      <c r="C23" s="81"/>
      <c r="I23" s="81"/>
      <c r="O23" s="81"/>
      <c r="V23" s="37" t="s">
        <v>266</v>
      </c>
      <c r="W23" s="81">
        <f>+'Ex. 3 Amortization table'!E15</f>
        <v>1640460</v>
      </c>
      <c r="Y23" s="86" t="s">
        <v>282</v>
      </c>
      <c r="Z23" s="1">
        <f>+'Ex. 3 Amortization table'!I16</f>
        <v>1250000</v>
      </c>
      <c r="AB23" s="86"/>
      <c r="AC23" s="81"/>
      <c r="AE23" s="59"/>
      <c r="AF23" s="1"/>
      <c r="AH23" s="86"/>
      <c r="AI23" s="81"/>
      <c r="AK23" s="59"/>
      <c r="AL23" s="1"/>
      <c r="AP23" s="81"/>
      <c r="AR23" s="59"/>
      <c r="AS23" s="1"/>
    </row>
    <row r="24" spans="2:45" x14ac:dyDescent="0.25">
      <c r="C24" s="81"/>
      <c r="I24" s="81"/>
      <c r="O24" s="81"/>
      <c r="V24" s="37"/>
      <c r="W24" s="81"/>
      <c r="Y24" s="86" t="s">
        <v>283</v>
      </c>
      <c r="Z24" s="1">
        <f>+'Ex. 3 Amortization table'!F15</f>
        <v>390460</v>
      </c>
      <c r="AB24" s="86"/>
      <c r="AC24" s="81"/>
      <c r="AE24" s="59"/>
      <c r="AF24" s="1"/>
      <c r="AH24" s="86"/>
      <c r="AI24" s="81"/>
      <c r="AK24" s="59"/>
      <c r="AL24" s="1"/>
      <c r="AP24" s="81"/>
      <c r="AR24" s="59"/>
      <c r="AS24" s="1"/>
    </row>
    <row r="25" spans="2:45" x14ac:dyDescent="0.25">
      <c r="C25" s="81"/>
      <c r="I25" s="81"/>
      <c r="O25" s="81"/>
      <c r="V25" s="37" t="s">
        <v>267</v>
      </c>
      <c r="W25" s="81">
        <f>+'Ex. 3 Amortization table'!E16</f>
        <v>1656840</v>
      </c>
      <c r="Y25" s="86" t="s">
        <v>284</v>
      </c>
      <c r="Z25" s="1">
        <f>+'Ex. 3 Amortization table'!I16</f>
        <v>1250000</v>
      </c>
      <c r="AB25" s="86"/>
      <c r="AC25" s="81"/>
      <c r="AE25" s="59"/>
      <c r="AF25" s="1"/>
      <c r="AH25" s="86"/>
      <c r="AI25" s="81"/>
      <c r="AK25" s="59"/>
      <c r="AL25" s="1"/>
      <c r="AP25" s="81"/>
      <c r="AR25" s="59"/>
      <c r="AS25" s="1"/>
    </row>
    <row r="26" spans="2:45" x14ac:dyDescent="0.25">
      <c r="C26" s="81"/>
      <c r="I26" s="81"/>
      <c r="O26" s="81"/>
      <c r="V26" s="37"/>
      <c r="W26" s="81"/>
      <c r="Y26" s="86" t="s">
        <v>285</v>
      </c>
      <c r="Z26" s="1">
        <f>+'Ex. 3 Amortization table'!F16</f>
        <v>406840</v>
      </c>
      <c r="AB26" s="86"/>
      <c r="AC26" s="81"/>
      <c r="AE26" s="90"/>
      <c r="AF26" s="1"/>
      <c r="AH26" s="86"/>
      <c r="AI26" s="81"/>
      <c r="AK26" s="90"/>
      <c r="AL26" s="1"/>
      <c r="AP26" s="81"/>
      <c r="AR26" s="59"/>
      <c r="AS26" s="1"/>
    </row>
    <row r="27" spans="2:45" x14ac:dyDescent="0.25">
      <c r="C27" s="81"/>
      <c r="I27" s="81"/>
      <c r="O27" s="81"/>
      <c r="V27" s="37" t="s">
        <v>268</v>
      </c>
      <c r="W27" s="81">
        <f>+'Ex. 3 Amortization table'!E17</f>
        <v>1673400</v>
      </c>
      <c r="Y27" s="86" t="s">
        <v>286</v>
      </c>
      <c r="Z27" s="1">
        <f>+'Ex. 3 Amortization table'!I17</f>
        <v>1250000</v>
      </c>
      <c r="AB27" s="86"/>
      <c r="AC27" s="81"/>
      <c r="AE27" s="90"/>
      <c r="AF27" s="1"/>
      <c r="AH27" s="86"/>
      <c r="AI27" s="81"/>
      <c r="AK27" s="90"/>
      <c r="AL27" s="1"/>
      <c r="AP27" s="81"/>
      <c r="AR27" s="59"/>
    </row>
    <row r="28" spans="2:45" x14ac:dyDescent="0.25">
      <c r="C28" s="81"/>
      <c r="I28" s="81"/>
      <c r="O28" s="81"/>
      <c r="V28" s="37"/>
      <c r="W28" s="81"/>
      <c r="Y28" s="86" t="s">
        <v>287</v>
      </c>
      <c r="Z28" s="1">
        <f>+'Ex. 3 Amortization table'!F17</f>
        <v>423400</v>
      </c>
      <c r="AB28" s="86"/>
      <c r="AC28" s="81"/>
      <c r="AE28" s="90"/>
      <c r="AF28" s="1"/>
      <c r="AH28" s="86"/>
      <c r="AI28" s="81"/>
      <c r="AK28" s="90"/>
      <c r="AL28" s="1"/>
      <c r="AP28" s="81"/>
      <c r="AR28" s="59"/>
    </row>
    <row r="29" spans="2:45" x14ac:dyDescent="0.25">
      <c r="C29" s="81"/>
      <c r="I29" s="81"/>
      <c r="O29" s="81"/>
      <c r="V29" s="37" t="s">
        <v>269</v>
      </c>
      <c r="W29" s="81">
        <f>+'Ex. 3 Amortization table'!E18</f>
        <v>1690110</v>
      </c>
      <c r="Y29" s="86" t="s">
        <v>288</v>
      </c>
      <c r="Z29" s="1">
        <f>+'Ex. 3 Amortization table'!I18</f>
        <v>1250000</v>
      </c>
      <c r="AB29" s="86"/>
      <c r="AC29" s="81"/>
      <c r="AE29" s="90"/>
      <c r="AF29" s="1"/>
      <c r="AH29" s="86"/>
      <c r="AI29" s="81"/>
      <c r="AK29" s="90"/>
      <c r="AL29" s="1"/>
      <c r="AP29" s="133"/>
      <c r="AQ29" s="88"/>
      <c r="AR29" s="89"/>
      <c r="AS29" s="30"/>
    </row>
    <row r="30" spans="2:45" ht="15.75" thickBot="1" x14ac:dyDescent="0.3">
      <c r="C30" s="81"/>
      <c r="I30" s="81"/>
      <c r="L30" s="68"/>
      <c r="O30" s="81"/>
      <c r="R30" s="68"/>
      <c r="V30" s="37"/>
      <c r="W30" s="81"/>
      <c r="Y30" s="86" t="s">
        <v>289</v>
      </c>
      <c r="Z30" s="1">
        <f>+'Ex. 3 Amortization table'!F18</f>
        <v>440110</v>
      </c>
      <c r="AB30" s="86"/>
      <c r="AC30" s="81"/>
      <c r="AE30" s="90"/>
      <c r="AF30" s="1"/>
      <c r="AH30" s="86"/>
      <c r="AI30" s="81"/>
      <c r="AK30" s="90"/>
      <c r="AL30" s="1"/>
      <c r="AP30" s="85">
        <f>SUM(AP6:AP29)</f>
        <v>4500000</v>
      </c>
      <c r="AR30" s="59"/>
      <c r="AS30" s="85">
        <f>SUM(AS6:AS29)</f>
        <v>4500000</v>
      </c>
    </row>
    <row r="31" spans="2:45" ht="15.75" thickBot="1" x14ac:dyDescent="0.3">
      <c r="C31" s="81"/>
      <c r="I31" s="81"/>
      <c r="L31" s="68"/>
      <c r="O31" s="81"/>
      <c r="R31" s="68"/>
      <c r="V31" s="37" t="s">
        <v>270</v>
      </c>
      <c r="W31" s="81">
        <f>+'Ex. 3 Amortization table'!E19</f>
        <v>1707000</v>
      </c>
      <c r="Y31" s="86" t="s">
        <v>290</v>
      </c>
      <c r="Z31" s="1">
        <f>+'Ex. 3 Amortization table'!I19</f>
        <v>1250000</v>
      </c>
      <c r="AB31" s="86"/>
      <c r="AC31" s="81"/>
      <c r="AE31" s="90"/>
      <c r="AF31" s="1"/>
      <c r="AH31" s="86"/>
      <c r="AI31" s="81"/>
      <c r="AK31" s="90"/>
      <c r="AL31" s="1"/>
      <c r="AP31" s="68"/>
      <c r="AR31" s="59"/>
      <c r="AS31" s="112">
        <f>+AS30-AP30</f>
        <v>0</v>
      </c>
    </row>
    <row r="32" spans="2:45" x14ac:dyDescent="0.25">
      <c r="C32" s="81"/>
      <c r="I32" s="81"/>
      <c r="O32" s="81"/>
      <c r="V32" s="37"/>
      <c r="W32" s="81"/>
      <c r="Y32" s="86" t="s">
        <v>291</v>
      </c>
      <c r="Z32" s="1">
        <f>+'Ex. 3 Amortization table'!F19</f>
        <v>457000</v>
      </c>
      <c r="AB32" s="86"/>
      <c r="AC32" s="81"/>
      <c r="AE32" s="90"/>
      <c r="AF32" s="1"/>
      <c r="AH32" s="86"/>
      <c r="AI32" s="81"/>
      <c r="AK32" s="90"/>
      <c r="AL32" s="1"/>
    </row>
    <row r="33" spans="2:38" x14ac:dyDescent="0.25">
      <c r="C33" s="81"/>
      <c r="I33" s="82"/>
      <c r="O33" s="82"/>
      <c r="V33" s="37" t="s">
        <v>271</v>
      </c>
      <c r="W33" s="81">
        <f>+'Ex. 3 Amortization table'!E20</f>
        <v>1724070</v>
      </c>
      <c r="Y33" s="86" t="s">
        <v>292</v>
      </c>
      <c r="Z33" s="1">
        <f>+'Ex. 3 Amortization table'!I20</f>
        <v>510889.20728783519</v>
      </c>
      <c r="AB33" s="86"/>
      <c r="AC33" s="81"/>
      <c r="AE33" s="90"/>
      <c r="AF33" s="1"/>
      <c r="AH33" s="86"/>
      <c r="AI33" s="81"/>
      <c r="AK33" s="90"/>
      <c r="AL33" s="1"/>
    </row>
    <row r="34" spans="2:38" x14ac:dyDescent="0.25">
      <c r="C34" s="81"/>
      <c r="I34" s="82"/>
      <c r="O34" s="82"/>
      <c r="V34" s="37" t="s">
        <v>293</v>
      </c>
      <c r="W34" s="81">
        <v>1250000</v>
      </c>
      <c r="Y34" s="86" t="s">
        <v>294</v>
      </c>
      <c r="Z34" s="1">
        <f>+'Ex. 3 Amortization table'!F20</f>
        <v>2463180.792712165</v>
      </c>
      <c r="AB34" s="86"/>
      <c r="AC34" s="81"/>
      <c r="AE34" s="90"/>
      <c r="AF34" s="1"/>
      <c r="AH34" s="86"/>
      <c r="AI34" s="81"/>
      <c r="AK34" s="90"/>
      <c r="AL34" s="1"/>
    </row>
    <row r="35" spans="2:38" x14ac:dyDescent="0.25">
      <c r="C35" s="81"/>
      <c r="I35" s="82"/>
      <c r="O35" s="82"/>
      <c r="V35" s="37"/>
      <c r="W35" s="81"/>
      <c r="Y35" s="86"/>
      <c r="Z35" s="1"/>
      <c r="AB35" s="86"/>
      <c r="AC35" s="81"/>
      <c r="AE35" s="90"/>
      <c r="AF35" s="1"/>
      <c r="AH35" s="86"/>
      <c r="AI35" s="81"/>
      <c r="AK35" s="90"/>
      <c r="AL35" s="1"/>
    </row>
    <row r="36" spans="2:38" x14ac:dyDescent="0.25">
      <c r="C36" s="81"/>
      <c r="D36" s="88"/>
      <c r="E36" s="89"/>
      <c r="F36" s="30"/>
      <c r="I36" s="84"/>
      <c r="J36" s="88"/>
      <c r="K36" s="89"/>
      <c r="L36" s="30"/>
      <c r="O36" s="84"/>
      <c r="P36" s="88"/>
      <c r="Q36" s="89"/>
      <c r="R36" s="30"/>
      <c r="W36" s="81"/>
      <c r="X36" s="88"/>
      <c r="Y36" s="137"/>
      <c r="Z36" s="30"/>
      <c r="AC36" s="81"/>
      <c r="AD36" s="88"/>
      <c r="AE36" s="89"/>
      <c r="AF36" s="30"/>
      <c r="AI36" s="81"/>
      <c r="AJ36" s="88"/>
      <c r="AK36" s="89"/>
      <c r="AL36" s="30"/>
    </row>
    <row r="37" spans="2:38" ht="15.75" thickBot="1" x14ac:dyDescent="0.3">
      <c r="C37" s="85">
        <f>SUM(C6:C36)</f>
        <v>19374910.792712167</v>
      </c>
      <c r="F37" s="85">
        <f>SUM(F6:F36)</f>
        <v>0</v>
      </c>
      <c r="I37" s="85">
        <f>SUM(I6:I36)</f>
        <v>15000000</v>
      </c>
      <c r="L37" s="85">
        <f>SUM(L6:L36)</f>
        <v>15000000</v>
      </c>
      <c r="O37" s="85">
        <f>SUM(O6:O36)</f>
        <v>4500000</v>
      </c>
      <c r="R37" s="85">
        <f>SUM(R6:R36)</f>
        <v>4500000</v>
      </c>
      <c r="W37" s="85">
        <f>SUM(W6:W36)</f>
        <v>34394510</v>
      </c>
      <c r="Y37" s="59"/>
      <c r="Z37" s="85">
        <f>SUM(Z6:Z36)</f>
        <v>34394510</v>
      </c>
      <c r="AC37" s="85">
        <f>SUM(AC6:AC36)</f>
        <v>1250000</v>
      </c>
      <c r="AE37" s="59"/>
      <c r="AF37" s="85">
        <f>SUM(AF6:AF36)</f>
        <v>1250000</v>
      </c>
      <c r="AI37" s="85">
        <f>SUM(AI6:AI36)</f>
        <v>15000000</v>
      </c>
      <c r="AK37" s="59"/>
      <c r="AL37" s="85">
        <f>SUM(AL6:AL36)</f>
        <v>15000000</v>
      </c>
    </row>
    <row r="38" spans="2:38" ht="15.75" thickBot="1" x14ac:dyDescent="0.3">
      <c r="C38" s="112">
        <f>+C37-F37</f>
        <v>19374910.792712167</v>
      </c>
      <c r="I38" s="87">
        <f>+I37-L37</f>
        <v>0</v>
      </c>
      <c r="O38" s="87">
        <f>+O37-R37</f>
        <v>0</v>
      </c>
      <c r="W38" s="87">
        <f>+W37-Z37</f>
        <v>0</v>
      </c>
      <c r="Y38" s="59"/>
      <c r="AC38" s="87">
        <f>+AC37-AF37</f>
        <v>0</v>
      </c>
      <c r="AE38" s="59"/>
      <c r="AI38" s="87">
        <f>+AI37-AL37</f>
        <v>0</v>
      </c>
      <c r="AK38" s="59"/>
    </row>
    <row r="39" spans="2:38" x14ac:dyDescent="0.25">
      <c r="O39" s="68"/>
      <c r="R39" s="68"/>
      <c r="Y39" s="59"/>
      <c r="AE39" s="59"/>
      <c r="AK39" s="59"/>
    </row>
    <row r="40" spans="2:38" ht="15" customHeight="1" x14ac:dyDescent="0.25">
      <c r="B40" s="265" t="s">
        <v>75</v>
      </c>
      <c r="C40" s="265"/>
      <c r="D40" s="265"/>
      <c r="E40" s="265"/>
      <c r="F40" s="265"/>
      <c r="H40" s="265" t="s">
        <v>241</v>
      </c>
      <c r="I40" s="265"/>
      <c r="J40" s="265"/>
      <c r="K40" s="265"/>
      <c r="L40" s="265"/>
      <c r="N40" s="268" t="s">
        <v>242</v>
      </c>
      <c r="O40" s="283"/>
      <c r="P40" s="283"/>
      <c r="Q40" s="283"/>
      <c r="R40" s="284"/>
      <c r="Y40" s="59"/>
      <c r="AE40" s="59"/>
      <c r="AK40" s="59"/>
    </row>
    <row r="41" spans="2:38" ht="46.5" customHeight="1" x14ac:dyDescent="0.25">
      <c r="C41" s="79"/>
      <c r="I41" s="79"/>
      <c r="N41" s="92"/>
      <c r="O41" s="79"/>
      <c r="R41" s="82"/>
      <c r="V41" s="265" t="s">
        <v>359</v>
      </c>
      <c r="W41" s="265"/>
      <c r="X41" s="265"/>
      <c r="Y41" s="265"/>
      <c r="Z41" s="265"/>
      <c r="AB41" s="265" t="s">
        <v>246</v>
      </c>
      <c r="AC41" s="264"/>
      <c r="AD41" s="264"/>
      <c r="AE41" s="264"/>
      <c r="AF41" s="264"/>
      <c r="AH41" s="265" t="s">
        <v>248</v>
      </c>
      <c r="AI41" s="264"/>
      <c r="AJ41" s="264"/>
      <c r="AK41" s="264"/>
      <c r="AL41" s="264"/>
    </row>
    <row r="42" spans="2:38" x14ac:dyDescent="0.25">
      <c r="B42" s="37"/>
      <c r="C42" s="80"/>
      <c r="I42" s="82"/>
      <c r="K42" s="132" t="s">
        <v>240</v>
      </c>
      <c r="L42" s="83">
        <f>+'Ex. 3 Amortization table'!F21</f>
        <v>1741290</v>
      </c>
      <c r="N42" s="92" t="s">
        <v>11</v>
      </c>
      <c r="O42" s="163">
        <f>+C38</f>
        <v>19374910.792712167</v>
      </c>
      <c r="Q42" s="86" t="s">
        <v>243</v>
      </c>
      <c r="R42" s="164">
        <f>+F66</f>
        <v>17633620.792712167</v>
      </c>
      <c r="W42" s="79"/>
      <c r="Y42" s="59"/>
      <c r="AC42" s="79"/>
      <c r="AE42" s="59"/>
      <c r="AI42" s="79"/>
      <c r="AK42" s="59"/>
    </row>
    <row r="43" spans="2:38" x14ac:dyDescent="0.25">
      <c r="C43" s="82"/>
      <c r="I43" s="82"/>
      <c r="K43" s="37"/>
      <c r="L43" s="1"/>
      <c r="N43" s="92"/>
      <c r="O43" s="82"/>
      <c r="Q43" s="86" t="s">
        <v>244</v>
      </c>
      <c r="R43" s="165">
        <f>+L42</f>
        <v>1741290</v>
      </c>
      <c r="V43" t="s">
        <v>253</v>
      </c>
      <c r="W43" s="81">
        <f>+'Ex. 3 Entries -CESAS'!D31</f>
        <v>650000</v>
      </c>
      <c r="Y43" s="59" t="s">
        <v>215</v>
      </c>
      <c r="Z43" s="83">
        <f>+'Ex. 3 Entries -CESAS'!E11</f>
        <v>12000000</v>
      </c>
      <c r="AC43" s="80"/>
      <c r="AD43" s="67"/>
      <c r="AE43" s="59" t="s">
        <v>252</v>
      </c>
      <c r="AF43" s="83">
        <f>+'Ex. 3 Entries -CESAS'!E27</f>
        <v>1515000</v>
      </c>
      <c r="AH43" t="s">
        <v>215</v>
      </c>
      <c r="AI43" s="80">
        <f>+'Ex. 3 Entries -CESAS'!D10</f>
        <v>250000</v>
      </c>
      <c r="AJ43" s="67"/>
      <c r="AK43" s="59"/>
    </row>
    <row r="44" spans="2:38" x14ac:dyDescent="0.25">
      <c r="C44" s="82"/>
      <c r="I44" s="82"/>
      <c r="L44" s="1"/>
      <c r="N44" s="92"/>
      <c r="O44" s="82"/>
      <c r="R44" s="81"/>
      <c r="V44" s="37" t="s">
        <v>256</v>
      </c>
      <c r="W44" s="81">
        <f>+'Ex. 3 Entries -CESAS'!D52</f>
        <v>682500</v>
      </c>
      <c r="Y44" s="86"/>
      <c r="Z44" s="1"/>
      <c r="AC44" s="81"/>
      <c r="AD44" s="1"/>
      <c r="AE44" s="59" t="s">
        <v>255</v>
      </c>
      <c r="AF44" s="1">
        <f>+'Ex. 3 Entries -CESAS'!E48</f>
        <v>1530150</v>
      </c>
      <c r="AI44" s="81"/>
      <c r="AJ44" s="1"/>
      <c r="AK44" s="59"/>
    </row>
    <row r="45" spans="2:38" x14ac:dyDescent="0.25">
      <c r="C45" s="82"/>
      <c r="E45" s="59">
        <v>2024</v>
      </c>
      <c r="F45" s="1">
        <v>651500</v>
      </c>
      <c r="I45" s="82"/>
      <c r="N45" s="92"/>
      <c r="O45" s="82"/>
      <c r="R45" s="81"/>
      <c r="V45" s="37" t="s">
        <v>259</v>
      </c>
      <c r="W45" s="81">
        <f>+'Ex. 3 Entries -CESAS'!D72</f>
        <v>716625</v>
      </c>
      <c r="Y45" s="59"/>
      <c r="Z45" s="1"/>
      <c r="AC45" s="81"/>
      <c r="AE45" s="59" t="s">
        <v>258</v>
      </c>
      <c r="AF45" s="1">
        <f>+'Ex. 3 Entries -CESAS'!E68</f>
        <v>1545450</v>
      </c>
      <c r="AI45" s="81"/>
      <c r="AK45" s="59"/>
    </row>
    <row r="46" spans="2:38" x14ac:dyDescent="0.25">
      <c r="C46" s="82"/>
      <c r="E46" s="132" t="s">
        <v>230</v>
      </c>
      <c r="F46" s="1">
        <f>+'Ex. 3 Amortization table'!G11+'Ex. 3 Amortization table'!F11</f>
        <v>1326500</v>
      </c>
      <c r="I46" s="82"/>
      <c r="N46" s="92"/>
      <c r="O46" s="82"/>
      <c r="R46" s="81"/>
      <c r="V46" s="59" t="s">
        <v>272</v>
      </c>
      <c r="W46" s="81">
        <f>+'Ex. 3 Amortization table'!K10</f>
        <v>752456.25</v>
      </c>
      <c r="Y46" s="59"/>
      <c r="AC46" s="81"/>
      <c r="AE46" s="59" t="s">
        <v>261</v>
      </c>
      <c r="AF46" s="1">
        <f>+'Ex. 3 Amortization table'!E10</f>
        <v>1560900</v>
      </c>
      <c r="AI46" s="81"/>
      <c r="AK46" s="59"/>
    </row>
    <row r="47" spans="2:38" x14ac:dyDescent="0.25">
      <c r="C47" s="82"/>
      <c r="E47" s="132" t="s">
        <v>231</v>
      </c>
      <c r="F47" s="1">
        <f>+'Ex. 3 Amortization table'!G12+'Ex. 3 Amortization table'!F12</f>
        <v>1342250</v>
      </c>
      <c r="I47" s="82"/>
      <c r="N47" s="92"/>
      <c r="O47" s="82"/>
      <c r="R47" s="81"/>
      <c r="V47" s="59" t="s">
        <v>274</v>
      </c>
      <c r="W47" s="81">
        <f>+'Ex. 3 Amortization table'!K11</f>
        <v>790079.0625</v>
      </c>
      <c r="Y47" s="59"/>
      <c r="AC47" s="81"/>
      <c r="AE47" s="59" t="s">
        <v>262</v>
      </c>
      <c r="AF47" s="1">
        <f>+'Ex. 3 Amortization table'!E11</f>
        <v>1576500</v>
      </c>
      <c r="AI47" s="81"/>
      <c r="AK47" s="59"/>
    </row>
    <row r="48" spans="2:38" x14ac:dyDescent="0.25">
      <c r="C48" s="82"/>
      <c r="E48" s="132" t="s">
        <v>232</v>
      </c>
      <c r="F48" s="1">
        <f>+'Ex. 3 Amortization table'!G13+'Ex. 3 Amortization table'!F13</f>
        <v>1358150</v>
      </c>
      <c r="I48" s="82"/>
      <c r="N48" s="92"/>
      <c r="O48" s="82"/>
      <c r="R48" s="81"/>
      <c r="V48" s="59" t="s">
        <v>276</v>
      </c>
      <c r="W48" s="81">
        <f>+'Ex. 3 Amortization table'!K12</f>
        <v>829583.015625</v>
      </c>
      <c r="Y48" s="59"/>
      <c r="AC48" s="81"/>
      <c r="AE48" s="59" t="s">
        <v>263</v>
      </c>
      <c r="AF48" s="1">
        <f>+'Ex. 3 Amortization table'!E12</f>
        <v>1592250</v>
      </c>
      <c r="AI48" s="81"/>
      <c r="AK48" s="59"/>
    </row>
    <row r="49" spans="3:37" x14ac:dyDescent="0.25">
      <c r="C49" s="82"/>
      <c r="E49" s="132" t="s">
        <v>233</v>
      </c>
      <c r="F49" s="1">
        <f>+'Ex. 3 Amortization table'!G14+'Ex. 3 Amortization table'!F14</f>
        <v>1374230</v>
      </c>
      <c r="I49" s="82"/>
      <c r="N49" s="92"/>
      <c r="O49" s="82"/>
      <c r="R49" s="81"/>
      <c r="V49" s="59" t="s">
        <v>278</v>
      </c>
      <c r="W49" s="81">
        <f>+'Ex. 3 Amortization table'!K13</f>
        <v>871062.16640624998</v>
      </c>
      <c r="Y49" s="59"/>
      <c r="AC49" s="81"/>
      <c r="AE49" s="59" t="s">
        <v>264</v>
      </c>
      <c r="AF49" s="1">
        <f>+'Ex. 3 Amortization table'!E13</f>
        <v>1608150</v>
      </c>
      <c r="AI49" s="81"/>
      <c r="AK49" s="59"/>
    </row>
    <row r="50" spans="3:37" x14ac:dyDescent="0.25">
      <c r="C50" s="82"/>
      <c r="E50" s="132" t="s">
        <v>234</v>
      </c>
      <c r="F50" s="1">
        <f>+'Ex. 3 Amortization table'!G15+'Ex. 3 Amortization table'!F15</f>
        <v>1390460</v>
      </c>
      <c r="I50" s="82"/>
      <c r="N50" s="92"/>
      <c r="O50" s="82"/>
      <c r="R50" s="81"/>
      <c r="V50" s="59" t="s">
        <v>280</v>
      </c>
      <c r="W50" s="81">
        <f>+'Ex. 3 Amortization table'!K14</f>
        <v>914615.27472656243</v>
      </c>
      <c r="Y50" s="59"/>
      <c r="AC50" s="81"/>
      <c r="AE50" s="59" t="s">
        <v>265</v>
      </c>
      <c r="AF50" s="1">
        <f>+'Ex. 3 Amortization table'!E14</f>
        <v>1624230</v>
      </c>
      <c r="AI50" s="81"/>
      <c r="AK50" s="59"/>
    </row>
    <row r="51" spans="3:37" x14ac:dyDescent="0.25">
      <c r="C51" s="82"/>
      <c r="E51" s="132" t="s">
        <v>235</v>
      </c>
      <c r="F51" s="1">
        <f>+'Ex. 3 Amortization table'!G16+'Ex. 3 Amortization table'!F16</f>
        <v>1406840</v>
      </c>
      <c r="I51" s="82"/>
      <c r="N51" s="92"/>
      <c r="O51" s="82"/>
      <c r="R51" s="81"/>
      <c r="V51" s="59" t="s">
        <v>282</v>
      </c>
      <c r="W51" s="81">
        <f>+'Ex. 3 Amortization table'!K15</f>
        <v>960346.03846289054</v>
      </c>
      <c r="Y51" s="59"/>
      <c r="AC51" s="81"/>
      <c r="AE51" s="59" t="s">
        <v>266</v>
      </c>
      <c r="AF51" s="1">
        <f>+'Ex. 3 Amortization table'!E15</f>
        <v>1640460</v>
      </c>
      <c r="AI51" s="81"/>
      <c r="AK51" s="59"/>
    </row>
    <row r="52" spans="3:37" x14ac:dyDescent="0.25">
      <c r="C52" s="82"/>
      <c r="E52" s="132" t="s">
        <v>236</v>
      </c>
      <c r="F52" s="1">
        <f>+'Ex. 3 Amortization table'!G17+'Ex. 3 Amortization table'!F17</f>
        <v>1423400</v>
      </c>
      <c r="I52" s="82"/>
      <c r="N52" s="92"/>
      <c r="O52" s="82"/>
      <c r="R52" s="81"/>
      <c r="V52" s="59" t="s">
        <v>284</v>
      </c>
      <c r="W52" s="81">
        <f>+'Ex. 3 Amortization table'!K16</f>
        <v>1008363.3403860352</v>
      </c>
      <c r="Y52" s="59"/>
      <c r="AC52" s="81"/>
      <c r="AE52" s="59" t="s">
        <v>267</v>
      </c>
      <c r="AF52" s="1">
        <f>+'Ex. 3 Amortization table'!E16</f>
        <v>1656840</v>
      </c>
      <c r="AI52" s="81"/>
      <c r="AK52" s="59"/>
    </row>
    <row r="53" spans="3:37" x14ac:dyDescent="0.25">
      <c r="C53" s="82"/>
      <c r="E53" s="132" t="s">
        <v>237</v>
      </c>
      <c r="F53" s="1">
        <f>+'Ex. 3 Amortization table'!G18+'Ex. 3 Amortization table'!F18</f>
        <v>1440110</v>
      </c>
      <c r="I53" s="82"/>
      <c r="N53" s="92"/>
      <c r="O53" s="82"/>
      <c r="R53" s="81"/>
      <c r="V53" s="59" t="s">
        <v>295</v>
      </c>
      <c r="W53" s="81">
        <f>+'Ex. 3 Amortization table'!K17</f>
        <v>1058781.5074053369</v>
      </c>
      <c r="Y53" s="59"/>
      <c r="AC53" s="81"/>
      <c r="AE53" s="59" t="s">
        <v>268</v>
      </c>
      <c r="AF53" s="1">
        <f>+'Ex. 3 Amortization table'!E17</f>
        <v>1673400</v>
      </c>
      <c r="AI53" s="81"/>
      <c r="AK53" s="59"/>
    </row>
    <row r="54" spans="3:37" x14ac:dyDescent="0.25">
      <c r="C54" s="82"/>
      <c r="E54" s="59">
        <v>2033</v>
      </c>
      <c r="F54" s="187">
        <f>+'Ex. 3 Entries -County'!E61</f>
        <v>1457000</v>
      </c>
      <c r="I54" s="82"/>
      <c r="N54" s="92"/>
      <c r="O54" s="82"/>
      <c r="R54" s="81"/>
      <c r="V54" s="59" t="s">
        <v>288</v>
      </c>
      <c r="W54" s="81">
        <f>+'Ex. 3 Amortization table'!K18</f>
        <v>1111720.5827756037</v>
      </c>
      <c r="Y54" s="59"/>
      <c r="AC54" s="81"/>
      <c r="AE54" s="59" t="s">
        <v>269</v>
      </c>
      <c r="AF54" s="1">
        <f>+'Ex. 3 Amortization table'!E18</f>
        <v>1690110</v>
      </c>
      <c r="AI54" s="81"/>
      <c r="AK54" s="59"/>
    </row>
    <row r="55" spans="3:37" x14ac:dyDescent="0.25">
      <c r="C55" s="82"/>
      <c r="E55" s="132" t="s">
        <v>239</v>
      </c>
      <c r="F55" s="106">
        <f>+'Ex. 3 Entries -County'!E69</f>
        <v>4463180.792712165</v>
      </c>
      <c r="I55" s="82"/>
      <c r="N55" s="92"/>
      <c r="O55" s="82"/>
      <c r="R55" s="81"/>
      <c r="V55" s="59" t="s">
        <v>290</v>
      </c>
      <c r="W55" s="81">
        <f>+'Ex. 3 Amortization table'!K19</f>
        <v>1167306.6119143839</v>
      </c>
      <c r="Y55" s="59"/>
      <c r="AC55" s="81"/>
      <c r="AE55" s="59" t="s">
        <v>270</v>
      </c>
      <c r="AF55" s="1">
        <f>+'Ex. 3 Amortization table'!E19</f>
        <v>1707000</v>
      </c>
      <c r="AI55" s="81"/>
      <c r="AK55" s="59"/>
    </row>
    <row r="56" spans="3:37" x14ac:dyDescent="0.25">
      <c r="C56" s="82"/>
      <c r="I56" s="82"/>
      <c r="N56" s="92"/>
      <c r="O56" s="82"/>
      <c r="R56" s="81"/>
      <c r="V56" s="59" t="s">
        <v>292</v>
      </c>
      <c r="W56" s="81">
        <f>+'Ex. 3 Amortization table'!K20</f>
        <v>486561.1497979383</v>
      </c>
      <c r="Y56" s="59"/>
      <c r="AC56" s="81"/>
      <c r="AE56" s="59" t="s">
        <v>271</v>
      </c>
      <c r="AF56" s="1">
        <f>+'Ex. 3 Amortization table'!E20</f>
        <v>1724070</v>
      </c>
      <c r="AI56" s="81"/>
      <c r="AK56" s="59"/>
    </row>
    <row r="57" spans="3:37" x14ac:dyDescent="0.25">
      <c r="C57" s="82"/>
      <c r="E57" s="162"/>
      <c r="F57" s="161"/>
      <c r="I57" s="82"/>
      <c r="N57" s="92"/>
      <c r="O57" s="82"/>
      <c r="R57" s="81"/>
      <c r="W57" s="81"/>
      <c r="Y57" s="59"/>
      <c r="AC57" s="81"/>
      <c r="AE57" s="59"/>
      <c r="AF57" s="1"/>
      <c r="AI57" s="81"/>
      <c r="AK57" s="59"/>
    </row>
    <row r="58" spans="3:37" x14ac:dyDescent="0.25">
      <c r="C58" s="82"/>
      <c r="F58" s="1"/>
      <c r="I58" s="82"/>
      <c r="N58" s="92"/>
      <c r="O58" s="82"/>
      <c r="R58" s="81"/>
      <c r="W58" s="81"/>
      <c r="Y58" s="59"/>
      <c r="AC58" s="81"/>
      <c r="AE58" s="59"/>
      <c r="AF58" s="1"/>
      <c r="AI58" s="81"/>
      <c r="AK58" s="59"/>
    </row>
    <row r="59" spans="3:37" x14ac:dyDescent="0.25">
      <c r="C59" s="82"/>
      <c r="F59" s="1"/>
      <c r="I59" s="82"/>
      <c r="N59" s="92"/>
      <c r="O59" s="82"/>
      <c r="R59" s="81"/>
      <c r="W59" s="81"/>
      <c r="Y59" s="59"/>
      <c r="AC59" s="81"/>
      <c r="AE59" s="59"/>
      <c r="AF59" s="1"/>
      <c r="AI59" s="81"/>
      <c r="AK59" s="59"/>
    </row>
    <row r="60" spans="3:37" x14ac:dyDescent="0.25">
      <c r="C60" s="82"/>
      <c r="F60" s="1"/>
      <c r="I60" s="82"/>
      <c r="N60" s="92"/>
      <c r="O60" s="82"/>
      <c r="R60" s="81"/>
      <c r="W60" s="81"/>
      <c r="Y60" s="59"/>
      <c r="AC60" s="81"/>
      <c r="AE60" s="59"/>
      <c r="AF60" s="1"/>
      <c r="AI60" s="81"/>
      <c r="AK60" s="59"/>
    </row>
    <row r="61" spans="3:37" x14ac:dyDescent="0.25">
      <c r="C61" s="82"/>
      <c r="F61" s="1"/>
      <c r="I61" s="82"/>
      <c r="N61" s="92"/>
      <c r="O61" s="82"/>
      <c r="R61" s="81"/>
      <c r="V61" s="90"/>
      <c r="W61" s="81"/>
      <c r="Y61" s="59"/>
      <c r="AC61" s="81"/>
      <c r="AE61" s="59"/>
      <c r="AF61" s="1"/>
      <c r="AG61" s="68"/>
      <c r="AI61" s="81"/>
      <c r="AK61" s="59"/>
    </row>
    <row r="62" spans="3:37" x14ac:dyDescent="0.25">
      <c r="C62" s="82"/>
      <c r="F62" s="1"/>
      <c r="I62" s="82"/>
      <c r="N62" s="92"/>
      <c r="O62" s="82"/>
      <c r="R62" s="82"/>
      <c r="V62" s="90"/>
      <c r="W62" s="81"/>
      <c r="Y62" s="59"/>
      <c r="AC62" s="81"/>
      <c r="AE62" s="59"/>
      <c r="AF62" s="1"/>
      <c r="AG62" s="68"/>
      <c r="AI62" s="81"/>
      <c r="AK62" s="59"/>
    </row>
    <row r="63" spans="3:37" x14ac:dyDescent="0.25">
      <c r="C63" s="82"/>
      <c r="F63" s="1"/>
      <c r="I63" s="82"/>
      <c r="N63" s="92"/>
      <c r="O63" s="82"/>
      <c r="R63" s="82"/>
      <c r="V63" s="90"/>
      <c r="W63" s="81"/>
      <c r="Y63" s="59"/>
      <c r="AC63" s="81"/>
      <c r="AE63" s="59"/>
      <c r="AF63" s="1"/>
      <c r="AI63" s="81"/>
      <c r="AK63" s="59"/>
    </row>
    <row r="64" spans="3:37" x14ac:dyDescent="0.25">
      <c r="C64" s="81"/>
      <c r="I64" s="82"/>
      <c r="N64" s="92"/>
      <c r="O64" s="82"/>
      <c r="R64" s="82"/>
      <c r="V64" s="90"/>
      <c r="W64" s="81"/>
      <c r="Y64" s="59"/>
      <c r="AC64" s="81"/>
      <c r="AE64" s="59"/>
      <c r="AI64" s="81"/>
      <c r="AK64" s="59"/>
    </row>
    <row r="65" spans="3:38" x14ac:dyDescent="0.25">
      <c r="C65" s="82"/>
      <c r="D65" s="88"/>
      <c r="E65" s="89"/>
      <c r="I65" s="84"/>
      <c r="J65" s="88"/>
      <c r="K65" s="89"/>
      <c r="L65" s="30"/>
      <c r="N65" s="92"/>
      <c r="O65" s="84"/>
      <c r="P65" s="88"/>
      <c r="Q65" s="89"/>
      <c r="R65" s="84"/>
      <c r="V65" s="90"/>
      <c r="W65" s="81"/>
      <c r="Y65" s="59"/>
      <c r="AC65" s="81"/>
      <c r="AE65" s="59"/>
      <c r="AI65" s="81"/>
      <c r="AK65" s="59"/>
    </row>
    <row r="66" spans="3:38" ht="15.75" thickBot="1" x14ac:dyDescent="0.3">
      <c r="C66" s="85">
        <f>SUM(C42:C64)</f>
        <v>0</v>
      </c>
      <c r="F66" s="85">
        <f>SUM(F42:F64)</f>
        <v>17633620.792712167</v>
      </c>
      <c r="I66" s="85">
        <f>SUM(I42:I65)</f>
        <v>0</v>
      </c>
      <c r="L66" s="85">
        <f>SUM(L42:L65)</f>
        <v>1741290</v>
      </c>
      <c r="N66" s="92"/>
      <c r="O66" s="85">
        <f>SUM(O42:O65)</f>
        <v>19374910.792712167</v>
      </c>
      <c r="R66" s="85">
        <f>SUM(R42:R65)</f>
        <v>19374910.792712167</v>
      </c>
      <c r="W66" s="133"/>
      <c r="X66" s="88"/>
      <c r="Y66" s="89"/>
      <c r="Z66" s="30"/>
      <c r="AC66" s="133"/>
      <c r="AD66" s="88"/>
      <c r="AE66" s="89"/>
      <c r="AF66" s="30"/>
      <c r="AI66" s="133"/>
      <c r="AJ66" s="88"/>
      <c r="AK66" s="89"/>
      <c r="AL66" s="30"/>
    </row>
    <row r="67" spans="3:38" ht="15.75" thickBot="1" x14ac:dyDescent="0.3">
      <c r="C67" s="68"/>
      <c r="F67" s="116">
        <f>+F66-C66</f>
        <v>17633620.792712167</v>
      </c>
      <c r="I67" s="68"/>
      <c r="L67" s="111">
        <f>+L66-I66</f>
        <v>1741290</v>
      </c>
      <c r="N67" s="88"/>
      <c r="O67" s="138"/>
      <c r="P67" s="30"/>
      <c r="Q67" s="89"/>
      <c r="R67" s="139">
        <f>+R66-O66</f>
        <v>0</v>
      </c>
      <c r="W67" s="85">
        <f>SUM(W43:W66)</f>
        <v>12000000</v>
      </c>
      <c r="Y67" s="59"/>
      <c r="Z67" s="85">
        <f>SUM(Z43:Z66)</f>
        <v>12000000</v>
      </c>
      <c r="AC67" s="85">
        <f>SUM(AC43:AC66)</f>
        <v>0</v>
      </c>
      <c r="AE67" s="59"/>
      <c r="AF67" s="85">
        <f>SUM(AF43:AF66)</f>
        <v>22644510</v>
      </c>
      <c r="AI67" s="85">
        <f>SUM(AI43:AI66)</f>
        <v>250000</v>
      </c>
      <c r="AK67" s="59"/>
      <c r="AL67" s="85">
        <f>SUM(AL43:AL66)</f>
        <v>0</v>
      </c>
    </row>
    <row r="68" spans="3:38" ht="15.75" thickBot="1" x14ac:dyDescent="0.3">
      <c r="C68" s="27"/>
      <c r="W68" s="68"/>
      <c r="Y68" s="59"/>
      <c r="Z68" s="87">
        <f>+Z67-W67</f>
        <v>0</v>
      </c>
      <c r="AC68" s="68"/>
      <c r="AE68" s="59"/>
      <c r="AF68" s="112">
        <f>+AF67-AC67</f>
        <v>22644510</v>
      </c>
      <c r="AI68" s="114">
        <f>+AI67-AL67</f>
        <v>250000</v>
      </c>
      <c r="AK68" s="59"/>
    </row>
    <row r="69" spans="3:38" x14ac:dyDescent="0.25">
      <c r="F69" s="68"/>
      <c r="L69" s="68">
        <f>+R37+F67+L67</f>
        <v>23874910.792712167</v>
      </c>
      <c r="Y69" s="59"/>
      <c r="AE69" s="59"/>
      <c r="AI69" s="68"/>
      <c r="AK69" s="59"/>
    </row>
    <row r="70" spans="3:38" x14ac:dyDescent="0.25">
      <c r="L70" s="51">
        <f>+L69-'Ex. 3 Amortization table'!E5</f>
        <v>-510889.20728783309</v>
      </c>
      <c r="Y70" s="59"/>
      <c r="AE70" s="59"/>
      <c r="AK70" s="59"/>
    </row>
    <row r="71" spans="3:38" ht="28.15" customHeight="1" x14ac:dyDescent="0.25">
      <c r="V71" s="265" t="s">
        <v>247</v>
      </c>
      <c r="W71" s="265"/>
      <c r="X71" s="265"/>
      <c r="Y71" s="265"/>
      <c r="Z71" s="265"/>
      <c r="AB71" s="265" t="s">
        <v>339</v>
      </c>
      <c r="AC71" s="264"/>
      <c r="AD71" s="264"/>
      <c r="AE71" s="264"/>
      <c r="AF71" s="264"/>
      <c r="AH71" s="268" t="s">
        <v>242</v>
      </c>
      <c r="AI71" s="283"/>
      <c r="AJ71" s="283"/>
      <c r="AK71" s="283"/>
      <c r="AL71" s="284"/>
    </row>
    <row r="72" spans="3:38" ht="15.75" thickBot="1" x14ac:dyDescent="0.3">
      <c r="W72" s="79"/>
      <c r="Y72" s="59"/>
      <c r="AC72" s="79"/>
      <c r="AE72" s="59"/>
      <c r="AH72" s="92"/>
      <c r="AI72" s="79"/>
      <c r="AK72" s="59"/>
      <c r="AL72" s="91"/>
    </row>
    <row r="73" spans="3:38" ht="15.75" thickBot="1" x14ac:dyDescent="0.3">
      <c r="V73" t="s">
        <v>253</v>
      </c>
      <c r="W73" s="133">
        <f>+'Ex. 3 Entries -CESAS'!D32</f>
        <v>600000</v>
      </c>
      <c r="Y73" s="59"/>
      <c r="Z73" s="134"/>
      <c r="AC73" s="82"/>
      <c r="AD73" s="67"/>
      <c r="AE73" s="86"/>
      <c r="AF73" s="83"/>
      <c r="AH73" s="92"/>
      <c r="AI73" s="135"/>
      <c r="AJ73" s="136"/>
      <c r="AK73" s="59" t="s">
        <v>296</v>
      </c>
      <c r="AL73" s="112">
        <f>+AF68</f>
        <v>22644510</v>
      </c>
    </row>
    <row r="74" spans="3:38" x14ac:dyDescent="0.25">
      <c r="V74" s="37" t="s">
        <v>256</v>
      </c>
      <c r="W74" s="133">
        <f>+'Ex. 3 Entries -CESAS'!D53</f>
        <v>567500</v>
      </c>
      <c r="AC74" s="82"/>
      <c r="AH74" s="92" t="s">
        <v>305</v>
      </c>
      <c r="AI74" s="114">
        <f>+AI68</f>
        <v>250000</v>
      </c>
      <c r="AK74" s="59"/>
      <c r="AL74" s="135"/>
    </row>
    <row r="75" spans="3:38" x14ac:dyDescent="0.25">
      <c r="V75" s="37" t="s">
        <v>259</v>
      </c>
      <c r="W75" s="133">
        <f>+'Ex. 3 Entries -CESAS'!D73</f>
        <v>533375</v>
      </c>
      <c r="Y75" s="59"/>
      <c r="AC75" s="82"/>
      <c r="AE75" s="59"/>
      <c r="AH75" s="92"/>
      <c r="AI75" s="135"/>
      <c r="AK75" s="59"/>
      <c r="AL75" s="82"/>
    </row>
    <row r="76" spans="3:38" x14ac:dyDescent="0.25">
      <c r="V76" s="59" t="s">
        <v>272</v>
      </c>
      <c r="W76" s="133">
        <f>+'Ex. 3 Amortization table'!J10</f>
        <v>497543.75</v>
      </c>
      <c r="Y76" s="59"/>
      <c r="AC76" s="82"/>
      <c r="AE76" s="59"/>
      <c r="AH76" s="92" t="s">
        <v>306</v>
      </c>
      <c r="AI76" s="149">
        <f>+W98</f>
        <v>4760889.2072878331</v>
      </c>
      <c r="AK76" s="71"/>
      <c r="AL76" s="110"/>
    </row>
    <row r="77" spans="3:38" x14ac:dyDescent="0.25">
      <c r="V77" s="59" t="s">
        <v>274</v>
      </c>
      <c r="W77" s="133">
        <f>+'Ex. 3 Amortization table'!J11</f>
        <v>459920.9375</v>
      </c>
      <c r="Y77" s="59"/>
      <c r="AB77" s="59">
        <v>2024</v>
      </c>
      <c r="AC77" s="81">
        <v>651500</v>
      </c>
      <c r="AE77" s="59"/>
      <c r="AH77" s="92"/>
      <c r="AI77" s="82"/>
      <c r="AK77" s="59"/>
      <c r="AL77" s="82"/>
    </row>
    <row r="78" spans="3:38" x14ac:dyDescent="0.25">
      <c r="V78" s="59" t="s">
        <v>276</v>
      </c>
      <c r="W78" s="133">
        <f>+'Ex. 3 Amortization table'!J12</f>
        <v>420416.984375</v>
      </c>
      <c r="Y78" s="59"/>
      <c r="AB78" s="59">
        <v>2025</v>
      </c>
      <c r="AC78" s="81">
        <f>+'Ex. 3 Amortization table'!F11+'Ex. 3 Amortization table'!G11</f>
        <v>1326500</v>
      </c>
      <c r="AE78" s="59"/>
      <c r="AH78" s="92" t="s">
        <v>307</v>
      </c>
      <c r="AI78" s="118">
        <f>+AC98</f>
        <v>17633620.792712167</v>
      </c>
      <c r="AK78" s="59"/>
      <c r="AL78" s="82"/>
    </row>
    <row r="79" spans="3:38" x14ac:dyDescent="0.25">
      <c r="V79" s="59" t="s">
        <v>278</v>
      </c>
      <c r="W79" s="133">
        <f>+'Ex. 3 Amortization table'!J13</f>
        <v>378937.83359375002</v>
      </c>
      <c r="Y79" s="59"/>
      <c r="AB79" s="59">
        <v>2026</v>
      </c>
      <c r="AC79" s="81">
        <f>+'Ex. 3 Amortization table'!F12+'Ex. 3 Amortization table'!G12</f>
        <v>1342250</v>
      </c>
      <c r="AE79" s="59"/>
      <c r="AH79" s="92"/>
      <c r="AI79" s="82"/>
      <c r="AK79" s="59"/>
      <c r="AL79" s="82"/>
    </row>
    <row r="80" spans="3:38" x14ac:dyDescent="0.25">
      <c r="V80" s="59" t="s">
        <v>280</v>
      </c>
      <c r="W80" s="133">
        <f>+'Ex. 3 Amortization table'!J14</f>
        <v>335384.72527343757</v>
      </c>
      <c r="Y80" s="59"/>
      <c r="AB80" s="59">
        <v>2027</v>
      </c>
      <c r="AC80" s="81">
        <f>+'Ex. 3 Amortization table'!F13+'Ex. 3 Amortization table'!G13</f>
        <v>1358150</v>
      </c>
      <c r="AE80" s="59"/>
      <c r="AH80" s="92"/>
      <c r="AI80" s="82"/>
      <c r="AK80" s="59"/>
      <c r="AL80" s="82"/>
    </row>
    <row r="81" spans="22:38" x14ac:dyDescent="0.25">
      <c r="V81" s="59" t="s">
        <v>282</v>
      </c>
      <c r="W81" s="133">
        <f>+'Ex. 3 Amortization table'!J15</f>
        <v>289653.9615371094</v>
      </c>
      <c r="Y81" s="59"/>
      <c r="AB81" s="59">
        <v>2028</v>
      </c>
      <c r="AC81" s="81">
        <f>+'Ex. 3 Amortization table'!F14+'Ex. 3 Amortization table'!G14</f>
        <v>1374230</v>
      </c>
      <c r="AE81" s="59"/>
      <c r="AH81" s="92"/>
      <c r="AI81" s="82"/>
      <c r="AK81" s="59"/>
      <c r="AL81" s="82"/>
    </row>
    <row r="82" spans="22:38" x14ac:dyDescent="0.25">
      <c r="V82" s="59" t="s">
        <v>284</v>
      </c>
      <c r="W82" s="133">
        <f>+'Ex. 3 Amortization table'!J16</f>
        <v>241636.6596139649</v>
      </c>
      <c r="Y82" s="59"/>
      <c r="AB82" s="59">
        <v>2029</v>
      </c>
      <c r="AC82" s="81">
        <f>+'Ex. 3 Amortization table'!F15+'Ex. 3 Amortization table'!G15</f>
        <v>1390460</v>
      </c>
      <c r="AE82" s="59"/>
      <c r="AH82" s="92"/>
      <c r="AI82" s="82"/>
      <c r="AK82" s="59"/>
      <c r="AL82" s="82"/>
    </row>
    <row r="83" spans="22:38" x14ac:dyDescent="0.25">
      <c r="V83" s="59" t="s">
        <v>295</v>
      </c>
      <c r="W83" s="133">
        <f>+'Ex. 3 Amortization table'!J17</f>
        <v>191218.49259466317</v>
      </c>
      <c r="Y83" s="59"/>
      <c r="AB83" s="59">
        <v>2030</v>
      </c>
      <c r="AC83" s="81">
        <f>+'Ex. 3 Amortization table'!F16+'Ex. 3 Amortization table'!G16</f>
        <v>1406840</v>
      </c>
      <c r="AE83" s="59"/>
      <c r="AH83" s="92"/>
      <c r="AI83" s="82"/>
      <c r="AK83" s="59"/>
      <c r="AL83" s="82"/>
    </row>
    <row r="84" spans="22:38" x14ac:dyDescent="0.25">
      <c r="V84" s="59" t="s">
        <v>288</v>
      </c>
      <c r="W84" s="133">
        <f>+'Ex. 3 Amortization table'!J18</f>
        <v>138279.41722439631</v>
      </c>
      <c r="Y84" s="59"/>
      <c r="AB84" s="59">
        <v>2031</v>
      </c>
      <c r="AC84" s="81">
        <f>+'Ex. 3 Amortization table'!F17+'Ex. 3 Amortization table'!G17</f>
        <v>1423400</v>
      </c>
      <c r="AE84" s="59"/>
      <c r="AH84" s="92"/>
      <c r="AI84" s="82"/>
      <c r="AK84" s="59"/>
      <c r="AL84" s="82"/>
    </row>
    <row r="85" spans="22:38" x14ac:dyDescent="0.25">
      <c r="V85" s="59" t="s">
        <v>290</v>
      </c>
      <c r="W85" s="133">
        <f>+'Ex. 3 Amortization table'!J19</f>
        <v>82693.388085616112</v>
      </c>
      <c r="Y85" s="59"/>
      <c r="AB85" s="59">
        <v>2032</v>
      </c>
      <c r="AC85" s="81">
        <f>+'Ex. 3 Amortization table'!F18+'Ex. 3 Amortization table'!G18</f>
        <v>1440110</v>
      </c>
      <c r="AE85" s="59"/>
      <c r="AH85" s="92"/>
      <c r="AI85" s="82"/>
      <c r="AK85" s="59"/>
      <c r="AL85" s="82"/>
    </row>
    <row r="86" spans="22:38" x14ac:dyDescent="0.25">
      <c r="V86" s="59" t="s">
        <v>292</v>
      </c>
      <c r="W86" s="133">
        <f>+'Ex. 3 Amortization table'!J20</f>
        <v>24328.057489896917</v>
      </c>
      <c r="Y86" s="59"/>
      <c r="AB86" s="58" t="s">
        <v>291</v>
      </c>
      <c r="AC86" s="81">
        <f>+'Ex. 3 Entries -CESAS'!D141</f>
        <v>1457000</v>
      </c>
      <c r="AE86" s="59"/>
      <c r="AH86" s="92"/>
      <c r="AI86" s="82"/>
      <c r="AK86" s="59"/>
      <c r="AL86" s="82"/>
    </row>
    <row r="87" spans="22:38" x14ac:dyDescent="0.25">
      <c r="W87" s="81"/>
      <c r="Y87" s="59"/>
      <c r="AB87" t="s">
        <v>294</v>
      </c>
      <c r="AC87" s="81">
        <f>+'Ex. 3 Entries -CESAS'!D166</f>
        <v>4463180.792712165</v>
      </c>
      <c r="AE87" s="59"/>
      <c r="AH87" s="92"/>
      <c r="AI87" s="82"/>
      <c r="AK87" s="59"/>
      <c r="AL87" s="82"/>
    </row>
    <row r="88" spans="22:38" x14ac:dyDescent="0.25">
      <c r="W88" s="81"/>
      <c r="Y88" s="59"/>
      <c r="AC88" s="133"/>
      <c r="AE88" s="59"/>
      <c r="AH88" s="92"/>
      <c r="AI88" s="82"/>
      <c r="AK88" s="59"/>
      <c r="AL88" s="82"/>
    </row>
    <row r="89" spans="22:38" x14ac:dyDescent="0.25">
      <c r="W89" s="81"/>
      <c r="Y89" s="59"/>
      <c r="AB89" s="37"/>
      <c r="AC89" s="81"/>
      <c r="AE89" s="59"/>
      <c r="AH89" s="92"/>
      <c r="AI89" s="82"/>
      <c r="AK89" s="59"/>
      <c r="AL89" s="82"/>
    </row>
    <row r="90" spans="22:38" x14ac:dyDescent="0.25">
      <c r="W90" s="81"/>
      <c r="Y90" s="59"/>
      <c r="AB90" s="37"/>
      <c r="AC90" s="81"/>
      <c r="AE90" s="59"/>
      <c r="AH90" s="92"/>
      <c r="AI90" s="82"/>
      <c r="AK90" s="59"/>
      <c r="AL90" s="82"/>
    </row>
    <row r="91" spans="22:38" x14ac:dyDescent="0.25">
      <c r="W91" s="81"/>
      <c r="Y91" s="59"/>
      <c r="AB91" s="37"/>
      <c r="AC91" s="81"/>
      <c r="AE91" s="59"/>
      <c r="AH91" s="92"/>
      <c r="AI91" s="82"/>
      <c r="AK91" s="59"/>
      <c r="AL91" s="82"/>
    </row>
    <row r="92" spans="22:38" x14ac:dyDescent="0.25">
      <c r="W92" s="81"/>
      <c r="Y92" s="59"/>
      <c r="AB92" s="37"/>
      <c r="AC92" s="81"/>
      <c r="AE92" s="59"/>
      <c r="AH92" s="92"/>
      <c r="AI92" s="82"/>
      <c r="AK92" s="59"/>
      <c r="AL92" s="82"/>
    </row>
    <row r="93" spans="22:38" x14ac:dyDescent="0.25">
      <c r="W93" s="81"/>
      <c r="Y93" s="59"/>
      <c r="AB93" s="37"/>
      <c r="AC93" s="81"/>
      <c r="AE93" s="59"/>
      <c r="AH93" s="92"/>
      <c r="AI93" s="82"/>
      <c r="AK93" s="59"/>
      <c r="AL93" s="82"/>
    </row>
    <row r="94" spans="22:38" x14ac:dyDescent="0.25">
      <c r="W94" s="81"/>
      <c r="Y94" s="59"/>
      <c r="AB94" s="37"/>
      <c r="AC94" s="81"/>
      <c r="AE94" s="59"/>
      <c r="AH94" s="92"/>
      <c r="AI94" s="82"/>
      <c r="AK94" s="59"/>
      <c r="AL94" s="82"/>
    </row>
    <row r="95" spans="22:38" x14ac:dyDescent="0.25">
      <c r="W95" s="81"/>
      <c r="Y95" s="59"/>
      <c r="AB95" s="37"/>
      <c r="AC95" s="81"/>
      <c r="AE95" s="59"/>
      <c r="AH95" s="92"/>
      <c r="AI95" s="82"/>
      <c r="AK95" s="59"/>
      <c r="AL95" s="82"/>
    </row>
    <row r="96" spans="22:38" x14ac:dyDescent="0.25">
      <c r="W96" s="84"/>
      <c r="X96" s="88"/>
      <c r="Y96" s="89"/>
      <c r="Z96" s="30"/>
      <c r="AB96" s="90"/>
      <c r="AC96" s="133"/>
      <c r="AD96" s="88"/>
      <c r="AE96" s="89"/>
      <c r="AF96" s="30"/>
      <c r="AH96" s="92"/>
      <c r="AI96" s="84"/>
      <c r="AJ96" s="88"/>
      <c r="AK96" s="89"/>
      <c r="AL96" s="84"/>
    </row>
    <row r="97" spans="18:38" ht="15.75" thickBot="1" x14ac:dyDescent="0.3">
      <c r="W97" s="85">
        <f>SUM(W73:W96)</f>
        <v>4760889.2072878331</v>
      </c>
      <c r="Y97" s="59"/>
      <c r="Z97" s="85">
        <f>SUM(Z73:Z96)</f>
        <v>0</v>
      </c>
      <c r="AC97" s="85">
        <f>SUM(AC73:AC96)</f>
        <v>17633620.792712167</v>
      </c>
      <c r="AE97" s="59"/>
      <c r="AF97" s="85">
        <f>SUM(AF73:AF96)</f>
        <v>0</v>
      </c>
      <c r="AH97" s="92"/>
      <c r="AI97" s="85">
        <f>SUM(AI73:AI96)</f>
        <v>22644510</v>
      </c>
      <c r="AK97" s="59"/>
      <c r="AL97" s="85">
        <f>SUM(AL73:AL96)</f>
        <v>22644510</v>
      </c>
    </row>
    <row r="98" spans="18:38" ht="15.75" thickBot="1" x14ac:dyDescent="0.3">
      <c r="W98" s="148">
        <f>+W97-Z97</f>
        <v>4760889.2072878331</v>
      </c>
      <c r="Y98" s="59"/>
      <c r="AC98" s="117">
        <f>+AC97-AF97</f>
        <v>17633620.792712167</v>
      </c>
      <c r="AE98" s="59"/>
      <c r="AH98" s="88"/>
      <c r="AI98" s="75">
        <f>+AI97-AL97</f>
        <v>0</v>
      </c>
      <c r="AJ98" s="30"/>
      <c r="AK98" s="89"/>
      <c r="AL98" s="84"/>
    </row>
    <row r="99" spans="18:38" x14ac:dyDescent="0.25">
      <c r="AK99" s="59"/>
    </row>
    <row r="100" spans="18:38" x14ac:dyDescent="0.25">
      <c r="Y100" s="59"/>
      <c r="AE100" s="59"/>
      <c r="AK100" s="59"/>
    </row>
    <row r="101" spans="18:38" x14ac:dyDescent="0.25">
      <c r="R101" s="140"/>
      <c r="Y101" s="59"/>
      <c r="AE101" s="59"/>
      <c r="AK101" s="59"/>
    </row>
    <row r="102" spans="18:38" x14ac:dyDescent="0.25">
      <c r="R102" s="48"/>
      <c r="Y102" s="59"/>
      <c r="AE102" s="59"/>
      <c r="AK102" s="59"/>
    </row>
    <row r="103" spans="18:38" ht="15" customHeight="1" x14ac:dyDescent="0.25">
      <c r="V103" s="265" t="s">
        <v>357</v>
      </c>
      <c r="W103" s="264"/>
      <c r="X103" s="264"/>
      <c r="Y103" s="264"/>
      <c r="Z103" s="264"/>
      <c r="AK103" s="59"/>
    </row>
    <row r="104" spans="18:38" x14ac:dyDescent="0.25">
      <c r="W104" s="79"/>
      <c r="Y104" s="59"/>
      <c r="AK104" s="59"/>
    </row>
    <row r="105" spans="18:38" x14ac:dyDescent="0.25">
      <c r="W105" s="80"/>
      <c r="X105" s="67"/>
      <c r="Y105" s="59" t="s">
        <v>252</v>
      </c>
      <c r="Z105" s="83" t="e">
        <f>+'Ex. 3 Entries -CESAS'!#REF!</f>
        <v>#REF!</v>
      </c>
      <c r="AK105" s="59"/>
    </row>
    <row r="106" spans="18:38" x14ac:dyDescent="0.25">
      <c r="W106" s="81"/>
      <c r="X106" s="1"/>
      <c r="Y106" s="59" t="s">
        <v>255</v>
      </c>
      <c r="Z106" s="1" t="e">
        <f>+'Ex. 3 Entries -CESAS'!#REF!</f>
        <v>#REF!</v>
      </c>
      <c r="AK106" s="59"/>
    </row>
    <row r="107" spans="18:38" x14ac:dyDescent="0.25">
      <c r="W107" s="81"/>
      <c r="Y107" s="59" t="s">
        <v>258</v>
      </c>
      <c r="Z107" s="1" t="e">
        <f>+'Ex. 3 Entries -CESAS'!#REF!</f>
        <v>#REF!</v>
      </c>
      <c r="AK107" s="59"/>
    </row>
    <row r="108" spans="18:38" x14ac:dyDescent="0.25">
      <c r="W108" s="81"/>
      <c r="Y108" s="59" t="s">
        <v>261</v>
      </c>
      <c r="Z108" s="1" t="e">
        <f>+'Ex. 3 Amortization table'!#REF!</f>
        <v>#REF!</v>
      </c>
      <c r="AK108" s="59"/>
    </row>
    <row r="109" spans="18:38" x14ac:dyDescent="0.25">
      <c r="W109" s="81"/>
      <c r="Y109" s="59" t="s">
        <v>262</v>
      </c>
      <c r="Z109" s="1" t="e">
        <f>+'Ex. 3 Amortization table'!#REF!</f>
        <v>#REF!</v>
      </c>
    </row>
    <row r="110" spans="18:38" x14ac:dyDescent="0.25">
      <c r="W110" s="81"/>
      <c r="Y110" s="59" t="s">
        <v>263</v>
      </c>
      <c r="Z110" s="1" t="e">
        <f>+'Ex. 3 Amortization table'!#REF!</f>
        <v>#REF!</v>
      </c>
    </row>
    <row r="111" spans="18:38" x14ac:dyDescent="0.25">
      <c r="W111" s="81"/>
      <c r="Y111" s="59" t="s">
        <v>264</v>
      </c>
      <c r="Z111" s="1" t="e">
        <f>+'Ex. 3 Amortization table'!#REF!</f>
        <v>#REF!</v>
      </c>
    </row>
    <row r="112" spans="18:38" x14ac:dyDescent="0.25">
      <c r="W112" s="81"/>
      <c r="Y112" s="59" t="s">
        <v>265</v>
      </c>
      <c r="Z112" s="1" t="e">
        <f>+'Ex. 3 Amortization table'!#REF!</f>
        <v>#REF!</v>
      </c>
    </row>
    <row r="113" spans="23:26" x14ac:dyDescent="0.25">
      <c r="W113" s="81"/>
      <c r="Y113" s="59" t="s">
        <v>266</v>
      </c>
      <c r="Z113" s="1" t="e">
        <f>+'Ex. 3 Amortization table'!#REF!</f>
        <v>#REF!</v>
      </c>
    </row>
    <row r="114" spans="23:26" x14ac:dyDescent="0.25">
      <c r="W114" s="81"/>
      <c r="Y114" s="59" t="s">
        <v>267</v>
      </c>
      <c r="Z114" s="1" t="e">
        <f>+'Ex. 3 Amortization table'!#REF!</f>
        <v>#REF!</v>
      </c>
    </row>
    <row r="115" spans="23:26" x14ac:dyDescent="0.25">
      <c r="W115" s="81"/>
      <c r="Y115" s="59" t="s">
        <v>268</v>
      </c>
      <c r="Z115" s="1" t="e">
        <f>+'Ex. 3 Amortization table'!#REF!</f>
        <v>#REF!</v>
      </c>
    </row>
    <row r="116" spans="23:26" x14ac:dyDescent="0.25">
      <c r="W116" s="81"/>
      <c r="Y116" s="59" t="s">
        <v>269</v>
      </c>
      <c r="Z116" s="1" t="e">
        <f>+'Ex. 3 Amortization table'!#REF!</f>
        <v>#REF!</v>
      </c>
    </row>
    <row r="117" spans="23:26" x14ac:dyDescent="0.25">
      <c r="W117" s="81"/>
      <c r="Y117" s="59" t="s">
        <v>270</v>
      </c>
      <c r="Z117" s="1" t="e">
        <f>+'Ex. 3 Amortization table'!#REF!</f>
        <v>#REF!</v>
      </c>
    </row>
    <row r="118" spans="23:26" x14ac:dyDescent="0.25">
      <c r="W118" s="81"/>
      <c r="Y118" s="59" t="s">
        <v>271</v>
      </c>
      <c r="Z118" s="1" t="e">
        <f>+'Ex. 3 Amortization table'!#REF!</f>
        <v>#REF!</v>
      </c>
    </row>
    <row r="119" spans="23:26" x14ac:dyDescent="0.25">
      <c r="W119" s="81"/>
      <c r="Y119" s="59"/>
      <c r="Z119" s="1"/>
    </row>
    <row r="120" spans="23:26" x14ac:dyDescent="0.25">
      <c r="W120" s="81"/>
      <c r="Y120" s="59"/>
      <c r="Z120" s="1"/>
    </row>
    <row r="121" spans="23:26" x14ac:dyDescent="0.25">
      <c r="W121" s="81"/>
      <c r="Y121" s="59"/>
      <c r="Z121" s="1"/>
    </row>
    <row r="122" spans="23:26" x14ac:dyDescent="0.25">
      <c r="W122" s="81"/>
      <c r="Y122" s="59"/>
      <c r="Z122" s="1"/>
    </row>
    <row r="123" spans="23:26" x14ac:dyDescent="0.25">
      <c r="W123" s="81"/>
      <c r="Y123" s="59"/>
      <c r="Z123" s="1"/>
    </row>
    <row r="124" spans="23:26" x14ac:dyDescent="0.25">
      <c r="W124" s="81"/>
      <c r="Y124" s="59"/>
      <c r="Z124" s="1"/>
    </row>
    <row r="125" spans="23:26" x14ac:dyDescent="0.25">
      <c r="W125" s="81"/>
      <c r="Y125" s="59"/>
      <c r="Z125" s="1"/>
    </row>
    <row r="126" spans="23:26" x14ac:dyDescent="0.25">
      <c r="W126" s="81"/>
      <c r="Y126" s="59"/>
    </row>
    <row r="127" spans="23:26" x14ac:dyDescent="0.25">
      <c r="W127" s="81"/>
      <c r="Y127" s="59"/>
    </row>
    <row r="128" spans="23:26" x14ac:dyDescent="0.25">
      <c r="W128" s="133"/>
      <c r="X128" s="88"/>
      <c r="Y128" s="89"/>
      <c r="Z128" s="30"/>
    </row>
    <row r="129" spans="23:26" ht="15.75" thickBot="1" x14ac:dyDescent="0.3">
      <c r="W129" s="85">
        <f>SUM(W105:W128)</f>
        <v>0</v>
      </c>
      <c r="Y129" s="59"/>
      <c r="Z129" s="85" t="e">
        <f>SUM(Z105:Z128)</f>
        <v>#REF!</v>
      </c>
    </row>
    <row r="130" spans="23:26" ht="15.75" thickBot="1" x14ac:dyDescent="0.3">
      <c r="W130" s="68"/>
      <c r="Y130" s="59"/>
      <c r="Z130" s="112" t="e">
        <f>+Z129-W129</f>
        <v>#REF!</v>
      </c>
    </row>
  </sheetData>
  <mergeCells count="19">
    <mergeCell ref="V103:Z103"/>
    <mergeCell ref="H40:L40"/>
    <mergeCell ref="N40:R40"/>
    <mergeCell ref="N4:R4"/>
    <mergeCell ref="B1:S1"/>
    <mergeCell ref="B4:F4"/>
    <mergeCell ref="V4:Z4"/>
    <mergeCell ref="H4:L4"/>
    <mergeCell ref="B40:F40"/>
    <mergeCell ref="V71:Z71"/>
    <mergeCell ref="AH71:AL71"/>
    <mergeCell ref="V41:Z41"/>
    <mergeCell ref="AB41:AF41"/>
    <mergeCell ref="AO4:AS4"/>
    <mergeCell ref="V1:AS1"/>
    <mergeCell ref="AB4:AF4"/>
    <mergeCell ref="AH4:AL4"/>
    <mergeCell ref="AH41:AL41"/>
    <mergeCell ref="AB71:AF71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690A-1906-43C9-BFD1-C55C7D65E7ED}">
  <dimension ref="A1:AG119"/>
  <sheetViews>
    <sheetView tabSelected="1" zoomScale="85" zoomScaleNormal="85" workbookViewId="0"/>
    <sheetView workbookViewId="1"/>
  </sheetViews>
  <sheetFormatPr defaultColWidth="9" defaultRowHeight="18.75" x14ac:dyDescent="0.3"/>
  <cols>
    <col min="1" max="1" width="9" style="190"/>
    <col min="2" max="2" width="7" style="190" customWidth="1"/>
    <col min="3" max="3" width="51.42578125" style="190" customWidth="1"/>
    <col min="4" max="4" width="17" style="191" customWidth="1"/>
    <col min="5" max="5" width="1.7109375" style="192" customWidth="1"/>
    <col min="6" max="6" width="17.28515625" style="191" customWidth="1"/>
    <col min="7" max="7" width="3.5703125" style="191" customWidth="1"/>
    <col min="8" max="8" width="1.5703125" style="191" customWidth="1"/>
    <col min="9" max="9" width="16.42578125" style="191" customWidth="1"/>
    <col min="10" max="10" width="3.42578125" style="214" customWidth="1"/>
    <col min="11" max="11" width="1.5703125" style="191" customWidth="1"/>
    <col min="12" max="12" width="16.28515625" style="191" customWidth="1"/>
    <col min="13" max="13" width="3" style="191" customWidth="1"/>
    <col min="14" max="14" width="16.5703125" style="191" customWidth="1"/>
    <col min="15" max="17" width="1.5703125" style="191" customWidth="1"/>
    <col min="18" max="18" width="18.140625" style="191" customWidth="1"/>
    <col min="19" max="19" width="1.5703125" style="191" customWidth="1"/>
    <col min="20" max="20" width="17.7109375" style="191" customWidth="1"/>
    <col min="21" max="21" width="3.5703125" style="191" customWidth="1"/>
    <col min="22" max="22" width="1.28515625" style="191" customWidth="1"/>
    <col min="23" max="23" width="17" style="191" customWidth="1"/>
    <col min="24" max="24" width="1.5703125" style="192" customWidth="1"/>
    <col min="25" max="25" width="15" style="191" customWidth="1"/>
    <col min="26" max="26" width="1.5703125" style="191" customWidth="1"/>
    <col min="27" max="27" width="16.42578125" style="191" customWidth="1"/>
    <col min="28" max="28" width="1.5703125" style="191" customWidth="1"/>
    <col min="29" max="29" width="17.140625" style="191" bestFit="1" customWidth="1"/>
    <col min="30" max="30" width="1.5703125" style="191" customWidth="1"/>
    <col min="31" max="31" width="17.85546875" style="191" bestFit="1" customWidth="1"/>
    <col min="32" max="32" width="9" style="191"/>
    <col min="33" max="33" width="17.42578125" style="191" customWidth="1"/>
    <col min="34" max="16384" width="9" style="190"/>
  </cols>
  <sheetData>
    <row r="1" spans="1:20" x14ac:dyDescent="0.3">
      <c r="A1" s="189" t="s">
        <v>419</v>
      </c>
    </row>
    <row r="3" spans="1:20" x14ac:dyDescent="0.3">
      <c r="A3" s="193" t="s">
        <v>416</v>
      </c>
    </row>
    <row r="5" spans="1:20" x14ac:dyDescent="0.3">
      <c r="B5" s="190" t="str">
        <f>B56</f>
        <v>Debit/(Credit)</v>
      </c>
      <c r="D5" s="285" t="s">
        <v>392</v>
      </c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7"/>
      <c r="S5" s="194"/>
      <c r="T5" s="195"/>
    </row>
    <row r="6" spans="1:20" ht="38.65" customHeight="1" x14ac:dyDescent="0.3">
      <c r="D6" s="294" t="s">
        <v>404</v>
      </c>
      <c r="E6" s="295"/>
      <c r="F6" s="295"/>
      <c r="G6" s="196"/>
      <c r="H6" s="196"/>
      <c r="I6" s="292" t="s">
        <v>406</v>
      </c>
      <c r="J6" s="300"/>
      <c r="K6" s="225"/>
      <c r="L6" s="288" t="s">
        <v>407</v>
      </c>
      <c r="M6" s="196"/>
      <c r="N6" s="288" t="str">
        <f>Y57</f>
        <v xml:space="preserve">Adjustments to Economic Resources MF </v>
      </c>
      <c r="O6" s="196"/>
      <c r="P6" s="196"/>
      <c r="Q6" s="196"/>
      <c r="R6" s="288" t="s">
        <v>371</v>
      </c>
      <c r="S6" s="195"/>
      <c r="T6" s="195"/>
    </row>
    <row r="7" spans="1:20" ht="58.15" customHeight="1" x14ac:dyDescent="0.45">
      <c r="D7" s="227" t="s">
        <v>372</v>
      </c>
      <c r="E7" s="197"/>
      <c r="F7" s="227" t="s">
        <v>409</v>
      </c>
      <c r="G7" s="198"/>
      <c r="H7" s="198"/>
      <c r="I7" s="293"/>
      <c r="J7" s="300"/>
      <c r="K7" s="226">
        <f t="shared" ref="K7" si="0">K57</f>
        <v>0</v>
      </c>
      <c r="L7" s="289"/>
      <c r="M7" s="199"/>
      <c r="N7" s="289"/>
      <c r="O7" s="199"/>
      <c r="P7" s="199"/>
      <c r="Q7" s="199"/>
      <c r="R7" s="289"/>
      <c r="S7" s="199"/>
      <c r="T7" s="200"/>
    </row>
    <row r="8" spans="1:20" x14ac:dyDescent="0.3">
      <c r="B8" s="223" t="str">
        <f>B58</f>
        <v>Position statement</v>
      </c>
      <c r="D8" s="215"/>
      <c r="F8" s="215"/>
      <c r="G8" s="201"/>
      <c r="H8" s="201"/>
      <c r="I8" s="190"/>
      <c r="J8" s="211"/>
      <c r="T8" s="192"/>
    </row>
    <row r="9" spans="1:20" x14ac:dyDescent="0.3">
      <c r="D9" s="215"/>
      <c r="F9" s="215"/>
      <c r="G9" s="201"/>
      <c r="H9" s="201"/>
      <c r="I9" s="190"/>
      <c r="J9" s="211"/>
      <c r="T9" s="192"/>
    </row>
    <row r="10" spans="1:20" x14ac:dyDescent="0.3">
      <c r="C10" s="190" t="s">
        <v>384</v>
      </c>
      <c r="D10" s="215">
        <f>W60</f>
        <v>10765000</v>
      </c>
      <c r="F10" s="215">
        <f>+I60</f>
        <v>0</v>
      </c>
      <c r="G10" s="201"/>
      <c r="H10" s="201"/>
      <c r="I10" s="190"/>
      <c r="J10" s="211"/>
      <c r="K10" s="191">
        <f>K60</f>
        <v>0</v>
      </c>
      <c r="L10" s="232">
        <f t="shared" ref="L10:L12" si="1">SUM(D10:I10)</f>
        <v>10765000</v>
      </c>
      <c r="N10" s="191">
        <f>+'Ex.3 20X1 Financial statements '!L60+'Ex.3 20X1 Financial statements '!Y60</f>
        <v>0</v>
      </c>
      <c r="R10" s="191">
        <f>+L10+N10</f>
        <v>10765000</v>
      </c>
      <c r="T10" s="192"/>
    </row>
    <row r="11" spans="1:20" x14ac:dyDescent="0.3">
      <c r="C11" s="190" t="s">
        <v>385</v>
      </c>
      <c r="D11" s="215"/>
      <c r="F11" s="215">
        <f>+I61</f>
        <v>1250000</v>
      </c>
      <c r="G11" s="201"/>
      <c r="H11" s="201"/>
      <c r="I11" s="190"/>
      <c r="J11" s="211"/>
      <c r="K11" s="191">
        <f>K62</f>
        <v>0</v>
      </c>
      <c r="L11" s="232">
        <f t="shared" si="1"/>
        <v>1250000</v>
      </c>
      <c r="N11" s="191">
        <f>+'Ex.3 20X1 Financial statements '!L61+'Ex.3 20X1 Financial statements '!Y61</f>
        <v>0</v>
      </c>
      <c r="R11" s="191">
        <f>+L11+N11</f>
        <v>1250000</v>
      </c>
      <c r="T11" s="192"/>
    </row>
    <row r="12" spans="1:20" x14ac:dyDescent="0.3">
      <c r="C12" s="190" t="s">
        <v>402</v>
      </c>
      <c r="D12" s="215">
        <f>+W63</f>
        <v>3235000</v>
      </c>
      <c r="F12" s="215"/>
      <c r="G12" s="201"/>
      <c r="H12" s="201"/>
      <c r="I12" s="232">
        <f>-D12</f>
        <v>-3235000</v>
      </c>
      <c r="J12" s="301"/>
      <c r="L12" s="232">
        <f t="shared" si="1"/>
        <v>0</v>
      </c>
      <c r="N12" s="191">
        <f>+'Ex.3 20X1 Financial statements '!L62+'Ex.3 20X1 Financial statements '!Y62</f>
        <v>0</v>
      </c>
      <c r="R12" s="191">
        <f>+L12+N12</f>
        <v>0</v>
      </c>
      <c r="T12" s="192"/>
    </row>
    <row r="13" spans="1:20" x14ac:dyDescent="0.3">
      <c r="C13" s="202" t="s">
        <v>376</v>
      </c>
      <c r="D13" s="217">
        <f>SUM(D10:D12)</f>
        <v>14000000</v>
      </c>
      <c r="F13" s="217">
        <f>SUM(F10:F12)</f>
        <v>1250000</v>
      </c>
      <c r="G13" s="192"/>
      <c r="H13" s="204"/>
      <c r="I13" s="233">
        <f>SUM(I10:I12)</f>
        <v>-3235000</v>
      </c>
      <c r="J13" s="302"/>
      <c r="L13" s="233">
        <f>SUM(L10:L12)</f>
        <v>12015000</v>
      </c>
      <c r="N13" s="203">
        <f>SUM(N10:N12)</f>
        <v>0</v>
      </c>
      <c r="R13" s="203">
        <f>SUM(R10:R12)</f>
        <v>12015000</v>
      </c>
      <c r="T13" s="192"/>
    </row>
    <row r="14" spans="1:20" x14ac:dyDescent="0.3">
      <c r="C14" s="202"/>
      <c r="D14" s="215"/>
      <c r="F14" s="215"/>
      <c r="G14" s="201"/>
      <c r="H14" s="201"/>
      <c r="I14" s="190"/>
      <c r="J14" s="211"/>
      <c r="L14" s="190"/>
      <c r="T14" s="192"/>
    </row>
    <row r="15" spans="1:20" x14ac:dyDescent="0.3">
      <c r="C15" s="190" t="s">
        <v>386</v>
      </c>
      <c r="D15" s="215"/>
      <c r="F15" s="215">
        <f>+I66</f>
        <v>14000000</v>
      </c>
      <c r="G15" s="201"/>
      <c r="H15" s="201"/>
      <c r="I15" s="232">
        <f>-F15</f>
        <v>-14000000</v>
      </c>
      <c r="J15" s="301"/>
      <c r="L15" s="232">
        <f t="shared" ref="L15" si="2">SUM(D15:I15)</f>
        <v>0</v>
      </c>
      <c r="N15" s="191">
        <f>+'Ex.3 20X1 Financial statements '!L66+'Ex.3 20X1 Financial statements '!Y66</f>
        <v>0</v>
      </c>
      <c r="R15" s="191">
        <f>+L15+N15</f>
        <v>0</v>
      </c>
      <c r="T15" s="192"/>
    </row>
    <row r="16" spans="1:20" x14ac:dyDescent="0.3">
      <c r="C16" s="202" t="s">
        <v>387</v>
      </c>
      <c r="D16" s="217">
        <f>SUM(D15)</f>
        <v>0</v>
      </c>
      <c r="F16" s="217">
        <f>SUM(F15)</f>
        <v>14000000</v>
      </c>
      <c r="G16" s="192"/>
      <c r="H16" s="204">
        <f>SUM(D16:F16)</f>
        <v>14000000</v>
      </c>
      <c r="I16" s="233">
        <f>SUM(I15)</f>
        <v>-14000000</v>
      </c>
      <c r="J16" s="302"/>
      <c r="L16" s="233">
        <f>SUM(L15)</f>
        <v>0</v>
      </c>
      <c r="N16" s="203">
        <f>SUM(N15)</f>
        <v>0</v>
      </c>
      <c r="R16" s="203">
        <f>SUM(R15)</f>
        <v>0</v>
      </c>
      <c r="T16" s="192"/>
    </row>
    <row r="17" spans="2:33" x14ac:dyDescent="0.3">
      <c r="C17" s="202"/>
      <c r="D17" s="218"/>
      <c r="F17" s="218"/>
      <c r="G17" s="192"/>
      <c r="H17" s="204"/>
      <c r="I17" s="190"/>
      <c r="J17" s="211"/>
      <c r="L17" s="190"/>
      <c r="N17" s="192"/>
      <c r="R17" s="192"/>
      <c r="T17" s="192"/>
    </row>
    <row r="18" spans="2:33" x14ac:dyDescent="0.3">
      <c r="C18" s="202"/>
      <c r="D18" s="215"/>
      <c r="F18" s="215"/>
      <c r="G18" s="201"/>
      <c r="H18" s="201"/>
      <c r="I18" s="190"/>
      <c r="J18" s="211"/>
      <c r="L18" s="190"/>
      <c r="T18" s="192"/>
    </row>
    <row r="19" spans="2:33" x14ac:dyDescent="0.3">
      <c r="C19" s="190" t="s">
        <v>401</v>
      </c>
      <c r="D19" s="218"/>
      <c r="F19" s="218">
        <f>+I70</f>
        <v>-3235000</v>
      </c>
      <c r="H19" s="201"/>
      <c r="I19" s="232">
        <f>-I12</f>
        <v>3235000</v>
      </c>
      <c r="J19" s="301"/>
      <c r="L19" s="232">
        <f t="shared" ref="L19:L20" si="3">SUM(D19:I19)</f>
        <v>0</v>
      </c>
      <c r="N19" s="232">
        <f>+'Ex.3 20X1 Financial statements '!L63+'Ex.3 20X1 Financial statements '!Y63</f>
        <v>0</v>
      </c>
      <c r="O19" s="192"/>
      <c r="P19" s="192"/>
      <c r="Q19" s="192"/>
      <c r="R19" s="191">
        <f>+L19+N19</f>
        <v>0</v>
      </c>
      <c r="T19" s="192"/>
    </row>
    <row r="20" spans="2:33" x14ac:dyDescent="0.3">
      <c r="C20" s="190" t="s">
        <v>49</v>
      </c>
      <c r="D20" s="218"/>
      <c r="F20" s="218"/>
      <c r="G20" s="192"/>
      <c r="H20" s="204"/>
      <c r="I20" s="190"/>
      <c r="J20" s="211"/>
      <c r="L20" s="232">
        <f t="shared" si="3"/>
        <v>0</v>
      </c>
      <c r="N20" s="232">
        <f>+'Ex.3 20X1 Financial statements '!L71+'Ex.3 20X1 Financial statements '!Y71</f>
        <v>-11350000</v>
      </c>
      <c r="O20" s="192"/>
      <c r="P20" s="192"/>
      <c r="Q20" s="192"/>
      <c r="R20" s="191">
        <f>+L20+N20</f>
        <v>-11350000</v>
      </c>
      <c r="T20" s="192"/>
    </row>
    <row r="21" spans="2:33" x14ac:dyDescent="0.3">
      <c r="C21" s="202" t="s">
        <v>377</v>
      </c>
      <c r="D21" s="217">
        <f>+D19+D20</f>
        <v>0</v>
      </c>
      <c r="F21" s="217">
        <f>+F19+F20</f>
        <v>-3235000</v>
      </c>
      <c r="G21" s="192"/>
      <c r="H21" s="204"/>
      <c r="I21" s="233">
        <f>+I19+I20</f>
        <v>3235000</v>
      </c>
      <c r="J21" s="302"/>
      <c r="L21" s="233">
        <f>+L19+L20</f>
        <v>0</v>
      </c>
      <c r="N21" s="233">
        <f>+N19+N20</f>
        <v>-11350000</v>
      </c>
      <c r="O21" s="192"/>
      <c r="P21" s="192"/>
      <c r="Q21" s="192"/>
      <c r="R21" s="233">
        <f>+R19+R20</f>
        <v>-11350000</v>
      </c>
      <c r="T21" s="192"/>
    </row>
    <row r="22" spans="2:33" x14ac:dyDescent="0.3">
      <c r="D22" s="218"/>
      <c r="F22" s="218"/>
      <c r="G22" s="192"/>
      <c r="H22" s="204"/>
      <c r="I22" s="190"/>
      <c r="J22" s="211"/>
      <c r="L22" s="190"/>
      <c r="N22" s="190"/>
      <c r="R22" s="190"/>
      <c r="T22" s="192"/>
    </row>
    <row r="23" spans="2:33" x14ac:dyDescent="0.3">
      <c r="C23" s="202"/>
      <c r="D23" s="218"/>
      <c r="F23" s="218"/>
      <c r="G23" s="192"/>
      <c r="H23" s="204"/>
      <c r="I23" s="190"/>
      <c r="J23" s="211"/>
      <c r="L23" s="190"/>
      <c r="N23" s="190"/>
      <c r="R23" s="190"/>
      <c r="T23" s="192"/>
    </row>
    <row r="24" spans="2:33" x14ac:dyDescent="0.3">
      <c r="C24" s="190" t="s">
        <v>25</v>
      </c>
      <c r="D24" s="218">
        <f>+W74</f>
        <v>-14000000</v>
      </c>
      <c r="F24" s="218"/>
      <c r="G24" s="192"/>
      <c r="H24" s="204"/>
      <c r="I24" s="232">
        <f>-D24</f>
        <v>14000000</v>
      </c>
      <c r="J24" s="301"/>
      <c r="L24" s="232">
        <f t="shared" ref="L24" si="4">SUM(D24:I24)</f>
        <v>0</v>
      </c>
      <c r="N24" s="232">
        <f>+'Ex.3 20X1 Financial statements '!L74+'Ex.3 20X1 Financial statements '!Y74</f>
        <v>0</v>
      </c>
      <c r="R24" s="191">
        <f>+L24+N24</f>
        <v>0</v>
      </c>
      <c r="T24" s="192"/>
    </row>
    <row r="25" spans="2:33" x14ac:dyDescent="0.3">
      <c r="C25" s="202" t="s">
        <v>378</v>
      </c>
      <c r="D25" s="217">
        <f>+D24</f>
        <v>-14000000</v>
      </c>
      <c r="F25" s="217">
        <f>+F24</f>
        <v>0</v>
      </c>
      <c r="G25" s="192"/>
      <c r="H25" s="204"/>
      <c r="I25" s="233">
        <f>+I24</f>
        <v>14000000</v>
      </c>
      <c r="J25" s="302"/>
      <c r="L25" s="233">
        <f>+L24</f>
        <v>0</v>
      </c>
      <c r="N25" s="233">
        <f>+N24</f>
        <v>0</v>
      </c>
      <c r="R25" s="233">
        <f>+R24</f>
        <v>0</v>
      </c>
      <c r="T25" s="192"/>
    </row>
    <row r="26" spans="2:33" ht="21.75" thickBot="1" x14ac:dyDescent="0.35">
      <c r="C26" s="190" t="s">
        <v>356</v>
      </c>
      <c r="D26" s="231">
        <f>+D13+D16+D21+D25</f>
        <v>0</v>
      </c>
      <c r="F26" s="231">
        <f>-(+F13+F16+F21+F25)</f>
        <v>-12015000</v>
      </c>
      <c r="G26" s="237"/>
      <c r="H26" s="204"/>
      <c r="I26" s="234">
        <f>+I13+I16+I21+I25</f>
        <v>0</v>
      </c>
      <c r="J26" s="303"/>
      <c r="L26" s="234">
        <f>+L13+L16+L21+L25</f>
        <v>12015000</v>
      </c>
      <c r="N26" s="234">
        <f>+N13+N16+N21+N25</f>
        <v>-11350000</v>
      </c>
      <c r="R26" s="234">
        <f>+R13+R16+R21+R25</f>
        <v>665000</v>
      </c>
      <c r="T26" s="192"/>
    </row>
    <row r="27" spans="2:33" ht="19.5" thickTop="1" x14ac:dyDescent="0.3">
      <c r="D27" s="204"/>
      <c r="E27" s="204"/>
      <c r="F27" s="204"/>
      <c r="G27" s="192"/>
      <c r="H27" s="204"/>
      <c r="I27" s="190"/>
      <c r="J27" s="211"/>
      <c r="N27" s="192"/>
      <c r="R27" s="192"/>
      <c r="T27" s="192"/>
    </row>
    <row r="28" spans="2:33" x14ac:dyDescent="0.3">
      <c r="D28" s="192"/>
      <c r="F28" s="192"/>
      <c r="G28" s="192"/>
      <c r="H28" s="204"/>
      <c r="I28" s="192"/>
      <c r="J28" s="216"/>
      <c r="R28" s="192"/>
      <c r="T28" s="192"/>
    </row>
    <row r="29" spans="2:33" x14ac:dyDescent="0.3">
      <c r="D29" s="285" t="str">
        <f>+D5</f>
        <v>County of Example Financial Reporting Entity</v>
      </c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7"/>
      <c r="T29" s="192"/>
    </row>
    <row r="30" spans="2:33" ht="36.75" customHeight="1" x14ac:dyDescent="0.3">
      <c r="D30" s="294" t="str">
        <f>+D6</f>
        <v>Governmental Funds
[Post-reclassification*]</v>
      </c>
      <c r="E30" s="295"/>
      <c r="F30" s="295"/>
      <c r="G30" s="196"/>
      <c r="H30" s="196"/>
      <c r="I30" s="292" t="s">
        <v>406</v>
      </c>
      <c r="J30" s="300"/>
      <c r="K30" s="225"/>
      <c r="L30" s="288" t="s">
        <v>407</v>
      </c>
      <c r="M30" s="196"/>
      <c r="N30" s="288" t="str">
        <f>+N6</f>
        <v xml:space="preserve">Adjustments to Economic Resources MF </v>
      </c>
      <c r="O30" s="196"/>
      <c r="P30" s="196"/>
      <c r="Q30" s="196"/>
      <c r="R30" s="288" t="s">
        <v>371</v>
      </c>
      <c r="S30" s="192"/>
      <c r="X30" s="191"/>
      <c r="AD30" s="190"/>
      <c r="AE30" s="190"/>
      <c r="AF30" s="190"/>
      <c r="AG30" s="190"/>
    </row>
    <row r="31" spans="2:33" ht="77.25" x14ac:dyDescent="0.45">
      <c r="D31" s="227" t="str">
        <f>+D7</f>
        <v>General 
Fund</v>
      </c>
      <c r="E31" s="197"/>
      <c r="F31" s="227" t="str">
        <f>+F7</f>
        <v>CESAS 
[Special Revenue Fund]</v>
      </c>
      <c r="G31" s="198"/>
      <c r="H31" s="198"/>
      <c r="I31" s="293"/>
      <c r="J31" s="300"/>
      <c r="K31" s="226">
        <f t="shared" ref="K31" si="5">K76</f>
        <v>0</v>
      </c>
      <c r="L31" s="289"/>
      <c r="M31" s="199"/>
      <c r="N31" s="289"/>
      <c r="O31" s="199"/>
      <c r="P31" s="199"/>
      <c r="Q31" s="199"/>
      <c r="R31" s="289"/>
      <c r="S31" s="192"/>
      <c r="X31" s="191"/>
      <c r="AD31" s="190"/>
      <c r="AE31" s="190"/>
      <c r="AF31" s="190"/>
      <c r="AG31" s="190"/>
    </row>
    <row r="32" spans="2:33" x14ac:dyDescent="0.3">
      <c r="B32" s="223" t="str">
        <f>B81</f>
        <v>Operating statement</v>
      </c>
      <c r="D32" s="215"/>
      <c r="F32" s="215"/>
      <c r="G32" s="201"/>
      <c r="H32" s="201"/>
      <c r="N32" s="192"/>
      <c r="S32" s="192"/>
      <c r="X32" s="191"/>
      <c r="AD32" s="190"/>
      <c r="AE32" s="190"/>
      <c r="AF32" s="190"/>
      <c r="AG32" s="190"/>
    </row>
    <row r="33" spans="3:33" ht="11.25" customHeight="1" x14ac:dyDescent="0.3">
      <c r="D33" s="215"/>
      <c r="F33" s="215"/>
      <c r="G33" s="201"/>
      <c r="H33" s="201"/>
      <c r="N33" s="192"/>
      <c r="S33" s="192"/>
      <c r="X33" s="191"/>
      <c r="AD33" s="190"/>
      <c r="AE33" s="190"/>
      <c r="AF33" s="190"/>
      <c r="AG33" s="190"/>
    </row>
    <row r="34" spans="3:33" x14ac:dyDescent="0.3">
      <c r="C34" s="190" t="s">
        <v>393</v>
      </c>
      <c r="D34" s="215">
        <f>+W83</f>
        <v>0</v>
      </c>
      <c r="F34" s="215">
        <f>+I83</f>
        <v>-1515000</v>
      </c>
      <c r="G34" s="201"/>
      <c r="H34" s="201"/>
      <c r="L34" s="191">
        <f>SUM(D34:H34)</f>
        <v>-1515000</v>
      </c>
      <c r="N34" s="192">
        <f>+L83+Y83</f>
        <v>0</v>
      </c>
      <c r="R34" s="191">
        <f>+L34+N34</f>
        <v>-1515000</v>
      </c>
      <c r="S34" s="192"/>
      <c r="X34" s="191"/>
      <c r="AD34" s="190"/>
      <c r="AE34" s="190"/>
      <c r="AF34" s="190"/>
      <c r="AG34" s="190"/>
    </row>
    <row r="35" spans="3:33" x14ac:dyDescent="0.3">
      <c r="C35" s="190" t="s">
        <v>399</v>
      </c>
      <c r="D35" s="215"/>
      <c r="F35" s="215"/>
      <c r="G35" s="201"/>
      <c r="H35" s="201"/>
      <c r="L35" s="191">
        <f>SUM(D35:H35)</f>
        <v>0</v>
      </c>
      <c r="N35" s="192">
        <f>+L84+Y84</f>
        <v>0</v>
      </c>
      <c r="R35" s="191">
        <f>+L35+N35</f>
        <v>0</v>
      </c>
      <c r="S35" s="192"/>
      <c r="X35" s="191"/>
      <c r="AD35" s="190"/>
      <c r="AE35" s="190"/>
      <c r="AF35" s="190"/>
      <c r="AG35" s="190"/>
    </row>
    <row r="36" spans="3:33" x14ac:dyDescent="0.3">
      <c r="C36" s="202" t="s">
        <v>380</v>
      </c>
      <c r="D36" s="217">
        <f>SUM(D34:D35)</f>
        <v>0</v>
      </c>
      <c r="F36" s="217">
        <f>SUM(F34:F35)</f>
        <v>-1515000</v>
      </c>
      <c r="G36" s="192"/>
      <c r="H36" s="204"/>
      <c r="I36" s="203">
        <f>SUM(I34:I35)</f>
        <v>0</v>
      </c>
      <c r="J36" s="216"/>
      <c r="L36" s="203">
        <f>SUM(L34:L35)</f>
        <v>-1515000</v>
      </c>
      <c r="N36" s="203">
        <f>SUM(N34:N35)</f>
        <v>0</v>
      </c>
      <c r="R36" s="203">
        <f>SUM(R34:R35)</f>
        <v>-1515000</v>
      </c>
      <c r="S36" s="192"/>
      <c r="X36" s="191"/>
      <c r="AD36" s="190"/>
      <c r="AE36" s="190"/>
      <c r="AF36" s="190"/>
      <c r="AG36" s="190"/>
    </row>
    <row r="37" spans="3:33" ht="13.9" customHeight="1" x14ac:dyDescent="0.3">
      <c r="D37" s="215"/>
      <c r="F37" s="215"/>
      <c r="H37" s="201"/>
      <c r="N37" s="192"/>
      <c r="S37" s="192"/>
      <c r="X37" s="191"/>
      <c r="AD37" s="190"/>
      <c r="AE37" s="190"/>
      <c r="AF37" s="190"/>
      <c r="AG37" s="190"/>
    </row>
    <row r="38" spans="3:33" x14ac:dyDescent="0.3">
      <c r="C38" s="190" t="s">
        <v>395</v>
      </c>
      <c r="D38" s="215">
        <f>W87</f>
        <v>0</v>
      </c>
      <c r="F38" s="215">
        <f>+I87</f>
        <v>600000</v>
      </c>
      <c r="H38" s="201"/>
      <c r="L38" s="191">
        <f>SUM(D38:H38)</f>
        <v>600000</v>
      </c>
      <c r="N38" s="192">
        <f>+L87+Y87</f>
        <v>0</v>
      </c>
      <c r="R38" s="191">
        <f t="shared" ref="R38:R41" si="6">+L38+N38</f>
        <v>600000</v>
      </c>
      <c r="S38" s="192"/>
      <c r="X38" s="191"/>
      <c r="AD38" s="190"/>
      <c r="AE38" s="190"/>
      <c r="AF38" s="190"/>
      <c r="AG38" s="190"/>
    </row>
    <row r="39" spans="3:33" x14ac:dyDescent="0.3">
      <c r="C39" s="190" t="s">
        <v>396</v>
      </c>
      <c r="D39" s="215">
        <f>W88</f>
        <v>0</v>
      </c>
      <c r="F39" s="215">
        <f>+I88</f>
        <v>650000</v>
      </c>
      <c r="H39" s="201"/>
      <c r="L39" s="191">
        <f>SUM(D39:H39)</f>
        <v>650000</v>
      </c>
      <c r="N39" s="192">
        <f>+L88+Y88</f>
        <v>-650000</v>
      </c>
      <c r="R39" s="191">
        <f t="shared" si="6"/>
        <v>0</v>
      </c>
      <c r="S39" s="192"/>
      <c r="X39" s="191"/>
      <c r="AD39" s="190"/>
      <c r="AE39" s="190"/>
      <c r="AF39" s="190"/>
      <c r="AG39" s="190"/>
    </row>
    <row r="40" spans="3:33" x14ac:dyDescent="0.3">
      <c r="C40" s="190" t="s">
        <v>397</v>
      </c>
      <c r="D40" s="215">
        <f>W89</f>
        <v>0</v>
      </c>
      <c r="F40" s="215">
        <f>I89</f>
        <v>250000</v>
      </c>
      <c r="H40" s="201"/>
      <c r="L40" s="191">
        <f>SUM(D40:H40)</f>
        <v>250000</v>
      </c>
      <c r="N40" s="192">
        <f>+L89+Y89</f>
        <v>0</v>
      </c>
      <c r="R40" s="191">
        <f t="shared" si="6"/>
        <v>250000</v>
      </c>
      <c r="S40" s="192"/>
      <c r="X40" s="191"/>
      <c r="AD40" s="190"/>
      <c r="AE40" s="190"/>
      <c r="AF40" s="190"/>
      <c r="AG40" s="190"/>
    </row>
    <row r="41" spans="3:33" x14ac:dyDescent="0.3">
      <c r="C41" s="190" t="s">
        <v>394</v>
      </c>
      <c r="D41" s="215">
        <f>W90</f>
        <v>0</v>
      </c>
      <c r="F41" s="215">
        <f>+I90</f>
        <v>0</v>
      </c>
      <c r="H41" s="201"/>
      <c r="L41" s="191">
        <f>SUM(D41:H41)</f>
        <v>0</v>
      </c>
      <c r="N41" s="192">
        <f>+L90+Y90</f>
        <v>0</v>
      </c>
      <c r="R41" s="191">
        <f t="shared" si="6"/>
        <v>0</v>
      </c>
      <c r="S41" s="192"/>
      <c r="X41" s="191"/>
      <c r="AD41" s="190"/>
      <c r="AE41" s="190"/>
      <c r="AF41" s="190"/>
      <c r="AG41" s="190"/>
    </row>
    <row r="42" spans="3:33" x14ac:dyDescent="0.3">
      <c r="C42" s="202" t="s">
        <v>381</v>
      </c>
      <c r="D42" s="217">
        <f>SUM(D38:D41)</f>
        <v>0</v>
      </c>
      <c r="F42" s="217">
        <f>SUM(F38:F41)</f>
        <v>1500000</v>
      </c>
      <c r="G42" s="192"/>
      <c r="H42" s="204"/>
      <c r="I42" s="203">
        <f>SUM(I38:I41)</f>
        <v>0</v>
      </c>
      <c r="J42" s="216"/>
      <c r="L42" s="203">
        <f>SUM(L38:L41)</f>
        <v>1500000</v>
      </c>
      <c r="N42" s="203">
        <f>SUM(N38:N41)</f>
        <v>-650000</v>
      </c>
      <c r="R42" s="203">
        <f>SUM(R38:R41)</f>
        <v>850000</v>
      </c>
      <c r="S42" s="192"/>
      <c r="X42" s="191"/>
      <c r="AD42" s="190"/>
      <c r="AE42" s="190"/>
      <c r="AF42" s="190"/>
      <c r="AG42" s="190"/>
    </row>
    <row r="43" spans="3:33" ht="12.4" customHeight="1" x14ac:dyDescent="0.3">
      <c r="D43" s="215"/>
      <c r="F43" s="215"/>
      <c r="H43" s="201"/>
      <c r="N43" s="192"/>
      <c r="S43" s="192"/>
      <c r="X43" s="191"/>
      <c r="AD43" s="190"/>
      <c r="AE43" s="190"/>
      <c r="AF43" s="190"/>
      <c r="AG43" s="190"/>
    </row>
    <row r="44" spans="3:33" x14ac:dyDescent="0.3">
      <c r="C44" s="190" t="s">
        <v>398</v>
      </c>
      <c r="D44" s="221">
        <f>W93</f>
        <v>0</v>
      </c>
      <c r="F44" s="221">
        <f>I93</f>
        <v>-12000000</v>
      </c>
      <c r="G44" s="192"/>
      <c r="H44" s="201"/>
      <c r="I44" s="206"/>
      <c r="J44" s="216"/>
      <c r="L44" s="206">
        <f>SUM(D44:H44)</f>
        <v>-12000000</v>
      </c>
      <c r="N44" s="192">
        <f>+L93+Y93</f>
        <v>12000000</v>
      </c>
      <c r="R44" s="191">
        <f>+L44+N44</f>
        <v>0</v>
      </c>
      <c r="S44" s="192"/>
      <c r="X44" s="191"/>
      <c r="AD44" s="190"/>
      <c r="AE44" s="190"/>
      <c r="AF44" s="190"/>
      <c r="AG44" s="190"/>
    </row>
    <row r="45" spans="3:33" x14ac:dyDescent="0.3">
      <c r="C45" s="190" t="s">
        <v>408</v>
      </c>
      <c r="D45" s="217">
        <f>+D44</f>
        <v>0</v>
      </c>
      <c r="F45" s="217">
        <f>+F44</f>
        <v>-12000000</v>
      </c>
      <c r="G45" s="192"/>
      <c r="H45" s="201"/>
      <c r="I45" s="203"/>
      <c r="J45" s="216"/>
      <c r="L45" s="203"/>
      <c r="N45" s="203"/>
      <c r="R45" s="203"/>
      <c r="S45" s="192"/>
      <c r="X45" s="191"/>
      <c r="AD45" s="190"/>
      <c r="AE45" s="190"/>
      <c r="AF45" s="190"/>
      <c r="AG45" s="190"/>
    </row>
    <row r="46" spans="3:33" ht="11.65" customHeight="1" x14ac:dyDescent="0.3">
      <c r="D46" s="215"/>
      <c r="F46" s="215"/>
      <c r="H46" s="201"/>
      <c r="N46" s="192"/>
      <c r="S46" s="192"/>
      <c r="X46" s="191"/>
      <c r="AD46" s="190"/>
      <c r="AE46" s="190"/>
      <c r="AF46" s="190"/>
      <c r="AG46" s="190"/>
    </row>
    <row r="47" spans="3:33" x14ac:dyDescent="0.3">
      <c r="C47" s="190" t="s">
        <v>370</v>
      </c>
      <c r="D47" s="215">
        <f>W96</f>
        <v>0</v>
      </c>
      <c r="F47" s="215">
        <f>+F36+F42+F45</f>
        <v>-12015000</v>
      </c>
      <c r="H47" s="201"/>
      <c r="I47" s="201">
        <f>AB96</f>
        <v>0</v>
      </c>
      <c r="J47" s="304"/>
      <c r="L47" s="191">
        <f>+L36+L42+L44</f>
        <v>-12015000</v>
      </c>
      <c r="N47" s="191">
        <f>+N36+N42+N44</f>
        <v>11350000</v>
      </c>
      <c r="R47" s="191">
        <f>+R36+R42+R44</f>
        <v>-665000</v>
      </c>
      <c r="S47" s="192"/>
      <c r="X47" s="191"/>
      <c r="AD47" s="190"/>
      <c r="AE47" s="190"/>
      <c r="AF47" s="190"/>
      <c r="AG47" s="190"/>
    </row>
    <row r="48" spans="3:33" x14ac:dyDescent="0.3">
      <c r="C48" s="190" t="s">
        <v>382</v>
      </c>
      <c r="D48" s="215">
        <f>W97</f>
        <v>0</v>
      </c>
      <c r="F48" s="215">
        <f>I97</f>
        <v>0</v>
      </c>
      <c r="H48" s="201"/>
      <c r="I48" s="201">
        <f>AB97</f>
        <v>0</v>
      </c>
      <c r="J48" s="304"/>
      <c r="L48" s="191">
        <f>SUM(D48:H48)</f>
        <v>0</v>
      </c>
      <c r="N48" s="201">
        <f>AF97</f>
        <v>0</v>
      </c>
      <c r="R48" s="201">
        <f>AJ97</f>
        <v>0</v>
      </c>
      <c r="S48" s="192"/>
      <c r="X48" s="191"/>
      <c r="AD48" s="190"/>
      <c r="AE48" s="190"/>
      <c r="AF48" s="190"/>
      <c r="AG48" s="190"/>
    </row>
    <row r="49" spans="1:33" ht="19.5" thickBot="1" x14ac:dyDescent="0.35">
      <c r="C49" s="190" t="s">
        <v>383</v>
      </c>
      <c r="D49" s="219">
        <f>SUM(D47:D48)</f>
        <v>0</v>
      </c>
      <c r="F49" s="219">
        <f>SUM(F47:F48)</f>
        <v>-12015000</v>
      </c>
      <c r="G49" s="192"/>
      <c r="H49" s="204"/>
      <c r="I49" s="230">
        <f>SUM(I47:I48)</f>
        <v>0</v>
      </c>
      <c r="J49" s="302"/>
      <c r="L49" s="205">
        <f>SUM(L47:L48)</f>
        <v>-12015000</v>
      </c>
      <c r="N49" s="230">
        <f>SUM(N47:N48)</f>
        <v>11350000</v>
      </c>
      <c r="R49" s="230">
        <f>SUM(R47:R48)</f>
        <v>-665000</v>
      </c>
      <c r="S49" s="192"/>
      <c r="X49" s="191"/>
      <c r="AD49" s="190"/>
      <c r="AE49" s="190"/>
      <c r="AF49" s="190"/>
      <c r="AG49" s="190"/>
    </row>
    <row r="50" spans="1:33" ht="19.5" thickTop="1" x14ac:dyDescent="0.3">
      <c r="D50" s="204"/>
      <c r="E50" s="204"/>
      <c r="F50" s="204"/>
      <c r="G50" s="192"/>
      <c r="H50" s="204"/>
      <c r="L50" s="192"/>
      <c r="N50" s="192"/>
      <c r="S50" s="192"/>
      <c r="X50" s="191"/>
      <c r="AD50" s="190"/>
      <c r="AE50" s="190"/>
      <c r="AF50" s="190"/>
      <c r="AG50" s="190"/>
    </row>
    <row r="51" spans="1:33" x14ac:dyDescent="0.3">
      <c r="S51" s="192"/>
      <c r="X51" s="191"/>
      <c r="AD51" s="190"/>
      <c r="AE51" s="190"/>
      <c r="AF51" s="190"/>
      <c r="AG51" s="190"/>
    </row>
    <row r="52" spans="1:33" x14ac:dyDescent="0.3">
      <c r="S52" s="206"/>
      <c r="X52" s="191"/>
      <c r="AD52" s="190"/>
      <c r="AE52" s="190"/>
      <c r="AF52" s="190"/>
      <c r="AG52" s="190"/>
    </row>
    <row r="53" spans="1:33" x14ac:dyDescent="0.3">
      <c r="A53" s="207"/>
      <c r="B53" s="207"/>
      <c r="C53" s="207"/>
      <c r="D53" s="208"/>
      <c r="E53" s="208"/>
      <c r="F53" s="208"/>
      <c r="G53" s="208"/>
      <c r="H53" s="208"/>
      <c r="I53" s="208"/>
      <c r="J53" s="305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Y53" s="208"/>
      <c r="Z53" s="208"/>
      <c r="AA53" s="208"/>
      <c r="AB53" s="208"/>
      <c r="AC53" s="208"/>
      <c r="AD53" s="208"/>
      <c r="AE53" s="208"/>
      <c r="AF53" s="208"/>
      <c r="AG53" s="208"/>
    </row>
    <row r="54" spans="1:33" x14ac:dyDescent="0.3">
      <c r="B54" s="209" t="s">
        <v>426</v>
      </c>
      <c r="C54" s="210"/>
      <c r="D54" s="299"/>
    </row>
    <row r="55" spans="1:33" x14ac:dyDescent="0.3">
      <c r="O55" s="192"/>
      <c r="P55" s="192"/>
      <c r="Q55" s="192"/>
    </row>
    <row r="56" spans="1:33" x14ac:dyDescent="0.3">
      <c r="B56" s="211" t="s">
        <v>373</v>
      </c>
      <c r="D56" s="290" t="str">
        <f>+D79</f>
        <v>Stand-Alone County of Example State Aid Securitizations, Inc. (CESAS)</v>
      </c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196"/>
      <c r="P56" s="235"/>
      <c r="Q56" s="196"/>
      <c r="R56" s="285" t="str">
        <f>+R79</f>
        <v>Stand-Alone County of Example (County)</v>
      </c>
      <c r="S56" s="286"/>
      <c r="T56" s="286"/>
      <c r="U56" s="286"/>
      <c r="V56" s="286"/>
      <c r="W56" s="286"/>
      <c r="X56" s="286"/>
      <c r="Y56" s="286"/>
      <c r="Z56" s="286"/>
      <c r="AA56" s="287"/>
      <c r="AB56" s="195"/>
      <c r="AC56" s="195"/>
      <c r="AD56" s="195"/>
      <c r="AE56" s="195"/>
    </row>
    <row r="57" spans="1:33" ht="65.25" customHeight="1" x14ac:dyDescent="0.45">
      <c r="D57" s="212" t="s">
        <v>374</v>
      </c>
      <c r="E57" s="200"/>
      <c r="F57" s="212" t="s">
        <v>400</v>
      </c>
      <c r="G57" s="212"/>
      <c r="H57" s="212"/>
      <c r="I57" s="213" t="s">
        <v>427</v>
      </c>
      <c r="J57" s="306" t="s">
        <v>162</v>
      </c>
      <c r="K57" s="199"/>
      <c r="L57" s="212" t="s">
        <v>405</v>
      </c>
      <c r="M57" s="199"/>
      <c r="N57" s="212" t="s">
        <v>371</v>
      </c>
      <c r="O57" s="192"/>
      <c r="P57" s="236"/>
      <c r="Q57" s="192"/>
      <c r="R57" s="212" t="s">
        <v>374</v>
      </c>
      <c r="S57" s="200"/>
      <c r="T57" s="212" t="str">
        <f>+F57</f>
        <v>Pre-Blending 
Reclass</v>
      </c>
      <c r="U57" s="212"/>
      <c r="V57" s="212"/>
      <c r="W57" s="213" t="s">
        <v>410</v>
      </c>
      <c r="X57" s="199"/>
      <c r="Y57" s="212" t="s">
        <v>415</v>
      </c>
      <c r="Z57" s="199"/>
      <c r="AA57" s="212" t="s">
        <v>371</v>
      </c>
      <c r="AC57" s="200"/>
      <c r="AD57" s="190"/>
      <c r="AE57" s="190"/>
      <c r="AF57" s="190"/>
      <c r="AG57" s="190"/>
    </row>
    <row r="58" spans="1:33" x14ac:dyDescent="0.3">
      <c r="B58" s="223" t="s">
        <v>375</v>
      </c>
      <c r="G58" s="214"/>
      <c r="I58" s="215"/>
      <c r="J58" s="307"/>
      <c r="O58" s="192"/>
      <c r="P58" s="236"/>
      <c r="Q58" s="192"/>
      <c r="R58" s="190"/>
      <c r="S58" s="192"/>
      <c r="W58" s="215"/>
      <c r="X58" s="191"/>
      <c r="AC58" s="192"/>
      <c r="AD58" s="190"/>
      <c r="AE58" s="190"/>
      <c r="AF58" s="190"/>
      <c r="AG58" s="190"/>
    </row>
    <row r="59" spans="1:33" ht="15" customHeight="1" x14ac:dyDescent="0.3">
      <c r="G59" s="214"/>
      <c r="I59" s="215"/>
      <c r="J59" s="307"/>
      <c r="O59" s="192"/>
      <c r="P59" s="236"/>
      <c r="Q59" s="192"/>
      <c r="S59" s="192"/>
      <c r="U59" s="214"/>
      <c r="V59" s="214"/>
      <c r="W59" s="215"/>
      <c r="X59" s="191"/>
      <c r="AC59" s="192"/>
      <c r="AD59" s="190"/>
      <c r="AE59" s="190"/>
      <c r="AF59" s="190"/>
      <c r="AG59" s="190"/>
    </row>
    <row r="60" spans="1:33" x14ac:dyDescent="0.3">
      <c r="C60" s="190" t="s">
        <v>384</v>
      </c>
      <c r="D60" s="191">
        <f>+'Ex. 3 T-accounts'!W6+'Ex. 3 T-accounts'!W7-'Ex. 3 T-accounts'!Z6-'Ex. 3 T-accounts'!Z7-'Ex. 3 T-accounts'!Z8</f>
        <v>0</v>
      </c>
      <c r="G60" s="214"/>
      <c r="I60" s="215">
        <f>+D60+F60</f>
        <v>0</v>
      </c>
      <c r="J60" s="307"/>
      <c r="N60" s="191">
        <f>SUM(I60:L60)</f>
        <v>0</v>
      </c>
      <c r="O60" s="192"/>
      <c r="P60" s="236"/>
      <c r="Q60" s="192"/>
      <c r="R60" s="191">
        <f>+'Ex. 3 T-accounts'!C6+'Ex. 3 T-accounts'!C7</f>
        <v>10765000</v>
      </c>
      <c r="S60" s="192"/>
      <c r="U60" s="214"/>
      <c r="V60" s="214"/>
      <c r="W60" s="215">
        <f>R60+T60</f>
        <v>10765000</v>
      </c>
      <c r="X60" s="191"/>
      <c r="AA60" s="191">
        <f>SUM(W60:Y60)</f>
        <v>10765000</v>
      </c>
      <c r="AC60" s="192"/>
      <c r="AD60" s="190"/>
      <c r="AE60" s="190"/>
      <c r="AF60" s="190"/>
      <c r="AG60" s="190"/>
    </row>
    <row r="61" spans="1:33" x14ac:dyDescent="0.3">
      <c r="C61" s="190" t="s">
        <v>385</v>
      </c>
      <c r="D61" s="191">
        <f>+'Ex. 3 T-accounts'!AC6</f>
        <v>1250000</v>
      </c>
      <c r="G61" s="214"/>
      <c r="I61" s="215">
        <f t="shared" ref="I61:I63" si="7">+D61+F61</f>
        <v>1250000</v>
      </c>
      <c r="J61" s="307"/>
      <c r="N61" s="191">
        <f t="shared" ref="N61:N63" si="8">SUM(I61:L61)</f>
        <v>1250000</v>
      </c>
      <c r="O61" s="192"/>
      <c r="P61" s="236"/>
      <c r="Q61" s="192"/>
      <c r="S61" s="192"/>
      <c r="U61" s="214"/>
      <c r="V61" s="214"/>
      <c r="W61" s="215"/>
      <c r="X61" s="191"/>
      <c r="AA61" s="191">
        <f t="shared" ref="AA61:AA63" si="9">SUM(W61:Y61)</f>
        <v>0</v>
      </c>
      <c r="AC61" s="192"/>
      <c r="AD61" s="190"/>
      <c r="AE61" s="190"/>
      <c r="AF61" s="190"/>
      <c r="AG61" s="190"/>
    </row>
    <row r="62" spans="1:33" ht="21" x14ac:dyDescent="0.3">
      <c r="C62" s="190" t="s">
        <v>388</v>
      </c>
      <c r="G62" s="214"/>
      <c r="I62" s="215">
        <f t="shared" si="7"/>
        <v>0</v>
      </c>
      <c r="J62" s="307"/>
      <c r="N62" s="191">
        <f t="shared" si="8"/>
        <v>0</v>
      </c>
      <c r="O62" s="192"/>
      <c r="P62" s="236"/>
      <c r="Q62" s="192"/>
      <c r="R62" s="191">
        <f>+'Ex. 3 T-accounts'!O6-'Ex. 3 T-accounts'!R6</f>
        <v>3235000</v>
      </c>
      <c r="S62" s="192"/>
      <c r="T62" s="191">
        <f>-R62</f>
        <v>-3235000</v>
      </c>
      <c r="U62" s="224" t="s">
        <v>160</v>
      </c>
      <c r="V62" s="224"/>
      <c r="W62" s="215">
        <f>R62+T62</f>
        <v>0</v>
      </c>
      <c r="X62" s="191"/>
      <c r="AA62" s="191">
        <f t="shared" si="9"/>
        <v>0</v>
      </c>
      <c r="AC62" s="192"/>
      <c r="AD62" s="190"/>
      <c r="AE62" s="190"/>
      <c r="AF62" s="190"/>
      <c r="AG62" s="190"/>
    </row>
    <row r="63" spans="1:33" ht="21" x14ac:dyDescent="0.3">
      <c r="C63" s="190" t="s">
        <v>402</v>
      </c>
      <c r="G63" s="214"/>
      <c r="I63" s="215">
        <f t="shared" si="7"/>
        <v>0</v>
      </c>
      <c r="J63" s="307"/>
      <c r="N63" s="191">
        <f t="shared" si="8"/>
        <v>0</v>
      </c>
      <c r="O63" s="192"/>
      <c r="P63" s="236"/>
      <c r="Q63" s="192"/>
      <c r="S63" s="192"/>
      <c r="T63" s="191">
        <f>-T62</f>
        <v>3235000</v>
      </c>
      <c r="U63" s="224" t="s">
        <v>160</v>
      </c>
      <c r="V63" s="224"/>
      <c r="W63" s="215">
        <f>R63+T63</f>
        <v>3235000</v>
      </c>
      <c r="X63" s="191"/>
      <c r="AA63" s="191">
        <f t="shared" si="9"/>
        <v>3235000</v>
      </c>
      <c r="AC63" s="192"/>
      <c r="AD63" s="190"/>
      <c r="AE63" s="190"/>
      <c r="AF63" s="190"/>
      <c r="AG63" s="190"/>
    </row>
    <row r="64" spans="1:33" x14ac:dyDescent="0.3">
      <c r="C64" s="202" t="s">
        <v>376</v>
      </c>
      <c r="D64" s="203">
        <f>SUM(D60:D63)</f>
        <v>1250000</v>
      </c>
      <c r="F64" s="203">
        <f>SUM(F60:F63)</f>
        <v>0</v>
      </c>
      <c r="G64" s="216"/>
      <c r="H64" s="192"/>
      <c r="I64" s="217">
        <f>SUM(I60:I63)</f>
        <v>1250000</v>
      </c>
      <c r="J64" s="308"/>
      <c r="L64" s="203">
        <f>SUM(L60:L63)</f>
        <v>0</v>
      </c>
      <c r="N64" s="203">
        <f>SUM(N60:N63)</f>
        <v>1250000</v>
      </c>
      <c r="O64" s="192"/>
      <c r="P64" s="236"/>
      <c r="Q64" s="192"/>
      <c r="R64" s="203">
        <f>SUM(R60:R63)</f>
        <v>14000000</v>
      </c>
      <c r="S64" s="192"/>
      <c r="T64" s="203">
        <f>SUM(T60:T63)</f>
        <v>0</v>
      </c>
      <c r="U64" s="216"/>
      <c r="V64" s="216"/>
      <c r="W64" s="217">
        <f>SUM(W60:W63)</f>
        <v>14000000</v>
      </c>
      <c r="X64" s="191"/>
      <c r="Y64" s="203">
        <f>SUM(Y60:Y63)</f>
        <v>0</v>
      </c>
      <c r="AA64" s="203">
        <f>SUM(AA60:AA63)</f>
        <v>14000000</v>
      </c>
      <c r="AC64" s="192"/>
      <c r="AD64" s="190"/>
      <c r="AE64" s="190"/>
      <c r="AF64" s="190"/>
      <c r="AG64" s="190"/>
    </row>
    <row r="65" spans="3:33" x14ac:dyDescent="0.3">
      <c r="C65" s="202"/>
      <c r="D65" s="192"/>
      <c r="F65" s="192"/>
      <c r="G65" s="216"/>
      <c r="H65" s="192"/>
      <c r="I65" s="218"/>
      <c r="J65" s="308"/>
      <c r="N65" s="192"/>
      <c r="O65" s="192"/>
      <c r="P65" s="236"/>
      <c r="Q65" s="192"/>
      <c r="R65" s="192"/>
      <c r="S65" s="192"/>
      <c r="T65" s="192"/>
      <c r="U65" s="216"/>
      <c r="V65" s="216"/>
      <c r="W65" s="218"/>
      <c r="X65" s="191"/>
      <c r="Y65" s="192"/>
      <c r="AA65" s="192"/>
      <c r="AC65" s="192"/>
      <c r="AD65" s="190"/>
      <c r="AE65" s="190"/>
      <c r="AF65" s="190"/>
      <c r="AG65" s="190"/>
    </row>
    <row r="66" spans="3:33" x14ac:dyDescent="0.3">
      <c r="C66" s="190" t="s">
        <v>386</v>
      </c>
      <c r="D66" s="192">
        <f>+'Ex. 3 T-accounts'!AI6-'Ex. 3 T-accounts'!AL6</f>
        <v>14000000</v>
      </c>
      <c r="F66" s="192"/>
      <c r="G66" s="216"/>
      <c r="H66" s="192"/>
      <c r="I66" s="218">
        <f>+D66+F66</f>
        <v>14000000</v>
      </c>
      <c r="J66" s="308"/>
      <c r="N66" s="191">
        <f>SUM(I66:L66)</f>
        <v>14000000</v>
      </c>
      <c r="O66" s="192"/>
      <c r="P66" s="236"/>
      <c r="Q66" s="192"/>
      <c r="R66" s="192"/>
      <c r="S66" s="192"/>
      <c r="T66" s="192"/>
      <c r="U66" s="216"/>
      <c r="V66" s="216"/>
      <c r="W66" s="218"/>
      <c r="X66" s="191"/>
      <c r="Y66" s="192"/>
      <c r="AA66" s="192"/>
      <c r="AC66" s="192"/>
      <c r="AD66" s="190"/>
      <c r="AE66" s="190"/>
      <c r="AF66" s="190"/>
      <c r="AG66" s="190"/>
    </row>
    <row r="67" spans="3:33" x14ac:dyDescent="0.3">
      <c r="C67" s="202" t="s">
        <v>387</v>
      </c>
      <c r="D67" s="203">
        <f>+D66</f>
        <v>14000000</v>
      </c>
      <c r="F67" s="203">
        <f>+F66</f>
        <v>0</v>
      </c>
      <c r="G67" s="216"/>
      <c r="H67" s="192"/>
      <c r="I67" s="217">
        <f>+I66</f>
        <v>14000000</v>
      </c>
      <c r="J67" s="308"/>
      <c r="L67" s="203">
        <f>+L66</f>
        <v>0</v>
      </c>
      <c r="N67" s="203">
        <f>+N66</f>
        <v>14000000</v>
      </c>
      <c r="O67" s="192"/>
      <c r="P67" s="236"/>
      <c r="Q67" s="192"/>
      <c r="R67" s="203">
        <f>+R66</f>
        <v>0</v>
      </c>
      <c r="S67" s="192"/>
      <c r="T67" s="203">
        <f>+T66</f>
        <v>0</v>
      </c>
      <c r="U67" s="216"/>
      <c r="V67" s="216"/>
      <c r="W67" s="217">
        <f>+W66</f>
        <v>0</v>
      </c>
      <c r="X67" s="191"/>
      <c r="Y67" s="203">
        <f>+Y66</f>
        <v>0</v>
      </c>
      <c r="AA67" s="203">
        <f>+AA66</f>
        <v>0</v>
      </c>
      <c r="AC67" s="192"/>
      <c r="AD67" s="190"/>
      <c r="AE67" s="190"/>
      <c r="AF67" s="190"/>
      <c r="AG67" s="190"/>
    </row>
    <row r="68" spans="3:33" x14ac:dyDescent="0.3">
      <c r="C68" s="202"/>
      <c r="D68" s="192"/>
      <c r="F68" s="192"/>
      <c r="G68" s="216"/>
      <c r="H68" s="192"/>
      <c r="I68" s="218"/>
      <c r="J68" s="308"/>
      <c r="N68" s="192"/>
      <c r="O68" s="192"/>
      <c r="P68" s="236"/>
      <c r="Q68" s="192"/>
      <c r="R68" s="192"/>
      <c r="S68" s="192"/>
      <c r="T68" s="192"/>
      <c r="U68" s="216"/>
      <c r="V68" s="216"/>
      <c r="W68" s="218"/>
      <c r="X68" s="191"/>
      <c r="Y68" s="192"/>
      <c r="AA68" s="192"/>
      <c r="AC68" s="192"/>
      <c r="AD68" s="190"/>
      <c r="AE68" s="190"/>
      <c r="AF68" s="190"/>
      <c r="AG68" s="190"/>
    </row>
    <row r="69" spans="3:33" ht="21" x14ac:dyDescent="0.3">
      <c r="C69" s="190" t="str">
        <f>+C62</f>
        <v>County residual interest in sold revenues</v>
      </c>
      <c r="D69" s="191">
        <f>-'Ex. 3 T-accounts'!AS6+'Ex. 3 T-accounts'!AP6</f>
        <v>-3235000</v>
      </c>
      <c r="F69" s="191">
        <f>-D69</f>
        <v>3235000</v>
      </c>
      <c r="G69" s="224" t="s">
        <v>160</v>
      </c>
      <c r="I69" s="215">
        <f>+D69+F69</f>
        <v>0</v>
      </c>
      <c r="J69" s="307"/>
      <c r="N69" s="191">
        <f t="shared" ref="N69:N71" si="10">SUM(I69:L69)</f>
        <v>0</v>
      </c>
      <c r="O69" s="192"/>
      <c r="P69" s="236"/>
      <c r="Q69" s="192"/>
      <c r="S69" s="192"/>
      <c r="U69" s="214"/>
      <c r="V69" s="214"/>
      <c r="W69" s="215"/>
      <c r="X69" s="191"/>
      <c r="AC69" s="192"/>
      <c r="AD69" s="190"/>
      <c r="AE69" s="190"/>
      <c r="AF69" s="190"/>
      <c r="AG69" s="190"/>
    </row>
    <row r="70" spans="3:33" ht="21" x14ac:dyDescent="0.3">
      <c r="C70" s="190" t="s">
        <v>401</v>
      </c>
      <c r="F70" s="191">
        <f>-F69</f>
        <v>-3235000</v>
      </c>
      <c r="G70" s="224" t="s">
        <v>160</v>
      </c>
      <c r="I70" s="215">
        <f>+D70+F70</f>
        <v>-3235000</v>
      </c>
      <c r="J70" s="307"/>
      <c r="N70" s="191">
        <f t="shared" si="10"/>
        <v>-3235000</v>
      </c>
      <c r="O70" s="192"/>
      <c r="P70" s="236"/>
      <c r="Q70" s="192"/>
      <c r="S70" s="192"/>
      <c r="W70" s="215"/>
      <c r="X70" s="191"/>
      <c r="AC70" s="192"/>
      <c r="AD70" s="190"/>
      <c r="AE70" s="190"/>
      <c r="AF70" s="190"/>
      <c r="AG70" s="190"/>
    </row>
    <row r="71" spans="3:33" ht="21" x14ac:dyDescent="0.3">
      <c r="C71" s="190" t="s">
        <v>49</v>
      </c>
      <c r="G71" s="214"/>
      <c r="I71" s="215"/>
      <c r="J71" s="307"/>
      <c r="L71" s="191">
        <f>-L88-L93</f>
        <v>-11350000</v>
      </c>
      <c r="M71" s="228" t="s">
        <v>161</v>
      </c>
      <c r="N71" s="191">
        <f t="shared" si="10"/>
        <v>-11350000</v>
      </c>
      <c r="O71" s="192"/>
      <c r="P71" s="236"/>
      <c r="Q71" s="192"/>
      <c r="S71" s="192"/>
      <c r="U71" s="214"/>
      <c r="V71" s="214"/>
      <c r="W71" s="215"/>
      <c r="X71" s="191"/>
      <c r="AA71" s="191">
        <f>SUM(W71:Y71)</f>
        <v>0</v>
      </c>
      <c r="AC71" s="192"/>
      <c r="AD71" s="190"/>
      <c r="AE71" s="190"/>
      <c r="AF71" s="190"/>
      <c r="AG71" s="190"/>
    </row>
    <row r="72" spans="3:33" x14ac:dyDescent="0.3">
      <c r="C72" s="202" t="s">
        <v>377</v>
      </c>
      <c r="D72" s="203">
        <f>SUM(D69:D71)</f>
        <v>-3235000</v>
      </c>
      <c r="F72" s="203">
        <f>SUM(F69:F71)</f>
        <v>0</v>
      </c>
      <c r="G72" s="216"/>
      <c r="H72" s="192"/>
      <c r="I72" s="217">
        <f>SUM(I69:I71)</f>
        <v>-3235000</v>
      </c>
      <c r="J72" s="308"/>
      <c r="L72" s="203">
        <f>SUM(L69:L71)</f>
        <v>-11350000</v>
      </c>
      <c r="N72" s="203">
        <f>SUM(N69:N71)</f>
        <v>-14585000</v>
      </c>
      <c r="O72" s="192"/>
      <c r="P72" s="236"/>
      <c r="Q72" s="192"/>
      <c r="R72" s="203">
        <f>SUM(R69:R71)</f>
        <v>0</v>
      </c>
      <c r="S72" s="192"/>
      <c r="T72" s="203">
        <f>SUM(T69:T71)</f>
        <v>0</v>
      </c>
      <c r="U72" s="216"/>
      <c r="V72" s="216"/>
      <c r="W72" s="217">
        <f>SUM(W69:W71)</f>
        <v>0</v>
      </c>
      <c r="X72" s="191"/>
      <c r="Y72" s="203">
        <f>SUM(Y69:Y71)</f>
        <v>0</v>
      </c>
      <c r="AA72" s="203">
        <f>SUM(AA69:AA71)</f>
        <v>0</v>
      </c>
      <c r="AC72" s="192"/>
      <c r="AD72" s="190"/>
      <c r="AE72" s="190"/>
      <c r="AF72" s="190"/>
      <c r="AG72" s="190"/>
    </row>
    <row r="73" spans="3:33" x14ac:dyDescent="0.3">
      <c r="C73" s="202"/>
      <c r="G73" s="214"/>
      <c r="I73" s="215"/>
      <c r="J73" s="307"/>
      <c r="O73" s="192"/>
      <c r="P73" s="236"/>
      <c r="Q73" s="192"/>
      <c r="S73" s="192"/>
      <c r="U73" s="214"/>
      <c r="V73" s="214"/>
      <c r="W73" s="215"/>
      <c r="X73" s="191"/>
      <c r="AC73" s="192"/>
      <c r="AD73" s="190"/>
      <c r="AE73" s="190"/>
      <c r="AF73" s="190"/>
      <c r="AG73" s="190"/>
    </row>
    <row r="74" spans="3:33" x14ac:dyDescent="0.3">
      <c r="C74" s="190" t="s">
        <v>25</v>
      </c>
      <c r="G74" s="214"/>
      <c r="I74" s="215"/>
      <c r="J74" s="307"/>
      <c r="N74" s="191">
        <f>SUM(I74:L74)</f>
        <v>0</v>
      </c>
      <c r="O74" s="192"/>
      <c r="P74" s="236"/>
      <c r="Q74" s="192"/>
      <c r="R74" s="191">
        <f>+'Ex. 3 T-accounts'!I6-'Ex. 3 T-accounts'!L6</f>
        <v>-14000000</v>
      </c>
      <c r="S74" s="192"/>
      <c r="U74" s="214"/>
      <c r="V74" s="214"/>
      <c r="W74" s="215">
        <f>R74+T74</f>
        <v>-14000000</v>
      </c>
      <c r="X74" s="191"/>
      <c r="AA74" s="191">
        <f>SUM(W74:Y74)</f>
        <v>-14000000</v>
      </c>
      <c r="AC74" s="192"/>
      <c r="AD74" s="190"/>
      <c r="AE74" s="190"/>
      <c r="AF74" s="190"/>
      <c r="AG74" s="190"/>
    </row>
    <row r="75" spans="3:33" x14ac:dyDescent="0.3">
      <c r="C75" s="202" t="s">
        <v>378</v>
      </c>
      <c r="D75" s="203">
        <f>SUM(D74)</f>
        <v>0</v>
      </c>
      <c r="F75" s="203">
        <f>SUM(F74)</f>
        <v>0</v>
      </c>
      <c r="G75" s="216"/>
      <c r="H75" s="192"/>
      <c r="I75" s="217">
        <f>SUM(I74)</f>
        <v>0</v>
      </c>
      <c r="J75" s="308"/>
      <c r="L75" s="203">
        <f>SUM(L74)</f>
        <v>0</v>
      </c>
      <c r="N75" s="203">
        <f>SUM(N74)</f>
        <v>0</v>
      </c>
      <c r="O75" s="192"/>
      <c r="P75" s="236"/>
      <c r="Q75" s="192"/>
      <c r="R75" s="203">
        <f>SUM(R74)</f>
        <v>-14000000</v>
      </c>
      <c r="S75" s="192"/>
      <c r="T75" s="203">
        <f>SUM(T74)</f>
        <v>0</v>
      </c>
      <c r="U75" s="216"/>
      <c r="V75" s="216"/>
      <c r="W75" s="217">
        <f>SUM(W74)</f>
        <v>-14000000</v>
      </c>
      <c r="X75" s="191"/>
      <c r="Y75" s="203">
        <f>SUM(Y74)</f>
        <v>0</v>
      </c>
      <c r="AA75" s="203">
        <f>SUM(AA74)</f>
        <v>-14000000</v>
      </c>
      <c r="AC75" s="192"/>
      <c r="AD75" s="190"/>
      <c r="AE75" s="190"/>
      <c r="AF75" s="190"/>
      <c r="AG75" s="190"/>
    </row>
    <row r="76" spans="3:33" ht="19.5" thickBot="1" x14ac:dyDescent="0.35">
      <c r="C76" s="190" t="s">
        <v>356</v>
      </c>
      <c r="D76" s="205">
        <f>-(+D64+D67+D72+D75)</f>
        <v>-12015000</v>
      </c>
      <c r="F76" s="205">
        <f>-(+F64+F67+F72+F75)</f>
        <v>0</v>
      </c>
      <c r="G76" s="216"/>
      <c r="H76" s="192"/>
      <c r="I76" s="219">
        <f>-(+I64+I67+I72+I75)</f>
        <v>-12015000</v>
      </c>
      <c r="J76" s="308"/>
      <c r="L76" s="205">
        <f>-(+L64+L67+L72+L75)</f>
        <v>11350000</v>
      </c>
      <c r="N76" s="205">
        <f>-(+N64+N67+N72+N75)</f>
        <v>-665000</v>
      </c>
      <c r="O76" s="192"/>
      <c r="P76" s="236"/>
      <c r="Q76" s="192"/>
      <c r="R76" s="205">
        <f>-(+R64+R67+R72+R75)</f>
        <v>0</v>
      </c>
      <c r="S76" s="192"/>
      <c r="T76" s="205">
        <f>-(+T64+T67+T72+T75)</f>
        <v>0</v>
      </c>
      <c r="U76" s="216"/>
      <c r="V76" s="216"/>
      <c r="W76" s="205">
        <f>-(+W64+W67+W72+W75)</f>
        <v>0</v>
      </c>
      <c r="X76" s="191"/>
      <c r="Y76" s="205">
        <f>-(+Y64+Y67+Y72+Y75)</f>
        <v>0</v>
      </c>
      <c r="AA76" s="205">
        <f>-(+AA64+AA67+AA72+AA75)</f>
        <v>0</v>
      </c>
      <c r="AC76" s="192"/>
      <c r="AD76" s="190"/>
      <c r="AE76" s="190"/>
      <c r="AF76" s="190"/>
      <c r="AG76" s="190"/>
    </row>
    <row r="77" spans="3:33" ht="19.5" thickTop="1" x14ac:dyDescent="0.3">
      <c r="G77" s="214"/>
      <c r="I77" s="201"/>
      <c r="J77" s="304"/>
      <c r="O77" s="192"/>
      <c r="P77" s="236"/>
      <c r="Q77" s="192"/>
      <c r="S77" s="192"/>
      <c r="U77" s="214"/>
      <c r="V77" s="214"/>
      <c r="W77" s="201"/>
      <c r="X77" s="191"/>
      <c r="AC77" s="192"/>
      <c r="AD77" s="190"/>
      <c r="AE77" s="190"/>
      <c r="AF77" s="190"/>
      <c r="AG77" s="190"/>
    </row>
    <row r="78" spans="3:33" x14ac:dyDescent="0.3">
      <c r="G78" s="214"/>
      <c r="I78" s="201"/>
      <c r="J78" s="304"/>
      <c r="O78" s="192"/>
      <c r="P78" s="236"/>
      <c r="Q78" s="192"/>
      <c r="S78" s="192"/>
      <c r="U78" s="214"/>
      <c r="V78" s="214"/>
      <c r="W78" s="201"/>
      <c r="X78" s="191"/>
      <c r="AC78" s="192"/>
      <c r="AD78" s="190"/>
      <c r="AE78" s="190"/>
      <c r="AF78" s="190"/>
      <c r="AG78" s="190"/>
    </row>
    <row r="79" spans="3:33" x14ac:dyDescent="0.3">
      <c r="D79" s="285" t="s">
        <v>390</v>
      </c>
      <c r="E79" s="286"/>
      <c r="F79" s="286"/>
      <c r="G79" s="286"/>
      <c r="H79" s="286"/>
      <c r="I79" s="286"/>
      <c r="J79" s="286"/>
      <c r="K79" s="286"/>
      <c r="L79" s="286"/>
      <c r="M79" s="286"/>
      <c r="N79" s="287"/>
      <c r="O79" s="192"/>
      <c r="P79" s="236"/>
      <c r="Q79" s="192"/>
      <c r="R79" s="285" t="s">
        <v>391</v>
      </c>
      <c r="S79" s="286"/>
      <c r="T79" s="286"/>
      <c r="U79" s="286"/>
      <c r="V79" s="286"/>
      <c r="W79" s="286"/>
      <c r="X79" s="286"/>
      <c r="Y79" s="286"/>
      <c r="Z79" s="286"/>
      <c r="AA79" s="287"/>
      <c r="AC79" s="192"/>
      <c r="AD79" s="190"/>
      <c r="AE79" s="190"/>
      <c r="AF79" s="190"/>
      <c r="AG79" s="190"/>
    </row>
    <row r="80" spans="3:33" ht="61.5" customHeight="1" x14ac:dyDescent="0.45">
      <c r="D80" s="212" t="s">
        <v>374</v>
      </c>
      <c r="E80" s="200"/>
      <c r="F80" s="212" t="str">
        <f>+F57</f>
        <v>Pre-Blending 
Reclass</v>
      </c>
      <c r="G80" s="212"/>
      <c r="H80" s="212"/>
      <c r="I80" s="213" t="str">
        <f>+I57</f>
        <v xml:space="preserve">SRF as 
Reported in Fund FS </v>
      </c>
      <c r="J80" s="309"/>
      <c r="K80" s="199"/>
      <c r="L80" s="212" t="s">
        <v>405</v>
      </c>
      <c r="M80" s="199"/>
      <c r="N80" s="212" t="s">
        <v>371</v>
      </c>
      <c r="O80" s="192"/>
      <c r="P80" s="236"/>
      <c r="Q80" s="192"/>
      <c r="R80" s="212" t="s">
        <v>374</v>
      </c>
      <c r="S80" s="200"/>
      <c r="T80" s="212" t="str">
        <f>+F57</f>
        <v>Pre-Blending 
Reclass</v>
      </c>
      <c r="U80" s="212"/>
      <c r="V80" s="212"/>
      <c r="W80" s="213" t="str">
        <f>+W57</f>
        <v>General Fund  
as Reported in Fund FS</v>
      </c>
      <c r="X80" s="199"/>
      <c r="Y80" s="212" t="s">
        <v>405</v>
      </c>
      <c r="Z80" s="199"/>
      <c r="AA80" s="212" t="s">
        <v>371</v>
      </c>
      <c r="AC80" s="192"/>
      <c r="AD80" s="190"/>
      <c r="AE80" s="190"/>
      <c r="AF80" s="190"/>
      <c r="AG80" s="190"/>
    </row>
    <row r="81" spans="2:33" x14ac:dyDescent="0.3">
      <c r="B81" s="223" t="s">
        <v>379</v>
      </c>
      <c r="G81" s="214"/>
      <c r="I81" s="215"/>
      <c r="J81" s="307"/>
      <c r="O81" s="192"/>
      <c r="P81" s="236"/>
      <c r="Q81" s="192"/>
      <c r="S81" s="192"/>
      <c r="U81" s="214"/>
      <c r="V81" s="214"/>
      <c r="W81" s="215"/>
      <c r="X81" s="191"/>
      <c r="AC81" s="192"/>
      <c r="AD81" s="190"/>
      <c r="AE81" s="190"/>
      <c r="AF81" s="190"/>
      <c r="AG81" s="190"/>
    </row>
    <row r="82" spans="2:33" ht="8.65" customHeight="1" x14ac:dyDescent="0.3">
      <c r="G82" s="214"/>
      <c r="I82" s="215"/>
      <c r="J82" s="307"/>
      <c r="O82" s="192"/>
      <c r="P82" s="236"/>
      <c r="Q82" s="192"/>
      <c r="S82" s="192"/>
      <c r="U82" s="214"/>
      <c r="V82" s="214"/>
      <c r="W82" s="215"/>
      <c r="X82" s="191"/>
      <c r="AC82" s="192"/>
      <c r="AD82" s="190"/>
      <c r="AE82" s="190"/>
      <c r="AF82" s="190"/>
      <c r="AG82" s="190"/>
    </row>
    <row r="83" spans="2:33" x14ac:dyDescent="0.3">
      <c r="C83" s="190" t="s">
        <v>393</v>
      </c>
      <c r="D83" s="191">
        <f>-'Ex. 3 T-accounts'!AF43</f>
        <v>-1515000</v>
      </c>
      <c r="G83" s="214"/>
      <c r="I83" s="215">
        <f>+D83+F83</f>
        <v>-1515000</v>
      </c>
      <c r="J83" s="307"/>
      <c r="N83" s="191">
        <f>SUM(I83:L83)</f>
        <v>-1515000</v>
      </c>
      <c r="O83" s="192"/>
      <c r="P83" s="236"/>
      <c r="Q83" s="192"/>
      <c r="S83" s="192"/>
      <c r="U83" s="214"/>
      <c r="V83" s="214"/>
      <c r="W83" s="215">
        <f>R83+T83</f>
        <v>0</v>
      </c>
      <c r="X83" s="191"/>
      <c r="AA83" s="191">
        <f>SUM(W83:Y83)</f>
        <v>0</v>
      </c>
      <c r="AC83" s="192"/>
      <c r="AD83" s="190"/>
      <c r="AE83" s="190"/>
      <c r="AF83" s="190"/>
      <c r="AG83" s="190"/>
    </row>
    <row r="84" spans="2:33" ht="21" x14ac:dyDescent="0.3">
      <c r="B84" s="229" t="s">
        <v>417</v>
      </c>
      <c r="C84" s="190" t="s">
        <v>399</v>
      </c>
      <c r="G84" s="214"/>
      <c r="I84" s="215"/>
      <c r="J84" s="307"/>
      <c r="O84" s="192"/>
      <c r="P84" s="236"/>
      <c r="Q84" s="192"/>
      <c r="S84" s="192"/>
      <c r="U84" s="214"/>
      <c r="V84" s="214"/>
      <c r="W84" s="215"/>
      <c r="X84" s="191"/>
      <c r="AC84" s="192"/>
      <c r="AD84" s="190"/>
      <c r="AE84" s="190"/>
      <c r="AF84" s="190"/>
      <c r="AG84" s="190"/>
    </row>
    <row r="85" spans="2:33" x14ac:dyDescent="0.3">
      <c r="B85" s="222"/>
      <c r="C85" s="202" t="s">
        <v>380</v>
      </c>
      <c r="D85" s="203">
        <f>SUM(D83:D83)</f>
        <v>-1515000</v>
      </c>
      <c r="F85" s="203">
        <f>SUM(F83:F83)</f>
        <v>0</v>
      </c>
      <c r="G85" s="216"/>
      <c r="H85" s="192"/>
      <c r="I85" s="217">
        <f>SUM(I83:I83)</f>
        <v>-1515000</v>
      </c>
      <c r="J85" s="308"/>
      <c r="L85" s="203">
        <f>SUM(L83:L83)</f>
        <v>0</v>
      </c>
      <c r="N85" s="203">
        <f>SUM(N83:N83)</f>
        <v>-1515000</v>
      </c>
      <c r="O85" s="192"/>
      <c r="P85" s="236"/>
      <c r="Q85" s="192"/>
      <c r="R85" s="203">
        <f>SUM(R83:R83)</f>
        <v>0</v>
      </c>
      <c r="S85" s="192"/>
      <c r="T85" s="203">
        <f>SUM(T83:T83)</f>
        <v>0</v>
      </c>
      <c r="U85" s="216"/>
      <c r="V85" s="216"/>
      <c r="W85" s="217">
        <f>SUM(W83:W83)</f>
        <v>0</v>
      </c>
      <c r="X85" s="191"/>
      <c r="Y85" s="203">
        <f>SUM(Y83:Y83)</f>
        <v>0</v>
      </c>
      <c r="AA85" s="203">
        <f>SUM(AA83:AA83)</f>
        <v>0</v>
      </c>
      <c r="AC85" s="192"/>
      <c r="AD85" s="190"/>
      <c r="AE85" s="190"/>
      <c r="AF85" s="190"/>
      <c r="AG85" s="190"/>
    </row>
    <row r="86" spans="2:33" ht="13.9" customHeight="1" x14ac:dyDescent="0.3">
      <c r="B86" s="222"/>
      <c r="G86" s="214"/>
      <c r="I86" s="215"/>
      <c r="J86" s="307"/>
      <c r="O86" s="192"/>
      <c r="P86" s="236"/>
      <c r="Q86" s="192"/>
      <c r="S86" s="192"/>
      <c r="U86" s="214"/>
      <c r="V86" s="214"/>
      <c r="W86" s="215"/>
      <c r="X86" s="191"/>
      <c r="AC86" s="192"/>
      <c r="AD86" s="190"/>
      <c r="AE86" s="190"/>
      <c r="AF86" s="190"/>
      <c r="AG86" s="190"/>
    </row>
    <row r="87" spans="2:33" x14ac:dyDescent="0.3">
      <c r="B87" s="222"/>
      <c r="C87" s="190" t="s">
        <v>395</v>
      </c>
      <c r="D87" s="191">
        <f>+'Ex. 3 T-accounts'!W73</f>
        <v>600000</v>
      </c>
      <c r="G87" s="214"/>
      <c r="I87" s="215">
        <f>D87+F87</f>
        <v>600000</v>
      </c>
      <c r="J87" s="307"/>
      <c r="N87" s="191">
        <f>SUM(I87:L87)</f>
        <v>600000</v>
      </c>
      <c r="O87" s="192"/>
      <c r="P87" s="236"/>
      <c r="Q87" s="192"/>
      <c r="S87" s="192"/>
      <c r="U87" s="214"/>
      <c r="V87" s="214"/>
      <c r="W87" s="215">
        <f>R87+T87</f>
        <v>0</v>
      </c>
      <c r="X87" s="191"/>
      <c r="Y87" s="191">
        <v>0</v>
      </c>
      <c r="AA87" s="191">
        <f>SUM(W87:Y87)</f>
        <v>0</v>
      </c>
      <c r="AC87" s="192"/>
      <c r="AD87" s="190"/>
      <c r="AE87" s="190"/>
      <c r="AF87" s="190"/>
      <c r="AG87" s="190"/>
    </row>
    <row r="88" spans="2:33" ht="21" x14ac:dyDescent="0.3">
      <c r="B88" s="222"/>
      <c r="C88" s="190" t="s">
        <v>396</v>
      </c>
      <c r="D88" s="191">
        <f>+'Ex. 3 T-accounts'!W43</f>
        <v>650000</v>
      </c>
      <c r="G88" s="214"/>
      <c r="I88" s="215">
        <f>D88+F88</f>
        <v>650000</v>
      </c>
      <c r="J88" s="307"/>
      <c r="L88" s="191">
        <f>-I88</f>
        <v>-650000</v>
      </c>
      <c r="M88" s="228" t="s">
        <v>161</v>
      </c>
      <c r="N88" s="191">
        <f>SUM(I88:L88)</f>
        <v>0</v>
      </c>
      <c r="O88" s="192"/>
      <c r="P88" s="236"/>
      <c r="Q88" s="192"/>
      <c r="S88" s="192"/>
      <c r="U88" s="214"/>
      <c r="V88" s="214"/>
      <c r="W88" s="215">
        <f>R88+T88</f>
        <v>0</v>
      </c>
      <c r="X88" s="191"/>
      <c r="AA88" s="191">
        <f>SUM(W88:Y88)</f>
        <v>0</v>
      </c>
      <c r="AC88" s="192"/>
      <c r="AD88" s="190"/>
      <c r="AE88" s="190"/>
      <c r="AF88" s="190"/>
      <c r="AG88" s="190"/>
    </row>
    <row r="89" spans="2:33" x14ac:dyDescent="0.3">
      <c r="B89" s="222"/>
      <c r="C89" s="190" t="s">
        <v>397</v>
      </c>
      <c r="D89" s="191">
        <f>+'Ex. 3 T-accounts'!AI43</f>
        <v>250000</v>
      </c>
      <c r="F89" s="220"/>
      <c r="G89" s="214"/>
      <c r="I89" s="215">
        <f>D89+F89</f>
        <v>250000</v>
      </c>
      <c r="J89" s="307"/>
      <c r="N89" s="191">
        <f>SUM(I89:L89)</f>
        <v>250000</v>
      </c>
      <c r="O89" s="192"/>
      <c r="P89" s="236"/>
      <c r="Q89" s="192"/>
      <c r="S89" s="192"/>
      <c r="U89" s="214"/>
      <c r="V89" s="214"/>
      <c r="W89" s="215">
        <f>R89+T89</f>
        <v>0</v>
      </c>
      <c r="X89" s="191"/>
      <c r="AA89" s="191">
        <f>SUM(W89:Y89)</f>
        <v>0</v>
      </c>
      <c r="AC89" s="192"/>
      <c r="AD89" s="190"/>
      <c r="AE89" s="190"/>
      <c r="AF89" s="190"/>
      <c r="AG89" s="190"/>
    </row>
    <row r="90" spans="2:33" ht="21" x14ac:dyDescent="0.3">
      <c r="B90" s="229" t="s">
        <v>417</v>
      </c>
      <c r="C90" s="190" t="s">
        <v>394</v>
      </c>
      <c r="F90" s="191">
        <f>-D90</f>
        <v>0</v>
      </c>
      <c r="G90" s="214"/>
      <c r="I90" s="221">
        <f>D90+F90</f>
        <v>0</v>
      </c>
      <c r="J90" s="308"/>
      <c r="L90" s="206"/>
      <c r="N90" s="191">
        <f>SUM(I90:L90)</f>
        <v>0</v>
      </c>
      <c r="O90" s="192"/>
      <c r="P90" s="236"/>
      <c r="Q90" s="192"/>
      <c r="S90" s="192"/>
      <c r="U90" s="214"/>
      <c r="V90" s="214"/>
      <c r="W90" s="215">
        <f>R90+T90</f>
        <v>0</v>
      </c>
      <c r="X90" s="191"/>
      <c r="AA90" s="191">
        <f>SUM(W90:Y90)</f>
        <v>0</v>
      </c>
      <c r="AC90" s="192"/>
      <c r="AD90" s="190"/>
      <c r="AE90" s="190"/>
      <c r="AF90" s="190"/>
      <c r="AG90" s="190"/>
    </row>
    <row r="91" spans="2:33" x14ac:dyDescent="0.3">
      <c r="C91" s="202" t="s">
        <v>381</v>
      </c>
      <c r="D91" s="203">
        <f>SUM(D87:D90)</f>
        <v>1500000</v>
      </c>
      <c r="F91" s="203">
        <f>SUM(F87:F90)</f>
        <v>0</v>
      </c>
      <c r="G91" s="216"/>
      <c r="H91" s="192"/>
      <c r="I91" s="217">
        <f>SUM(I87:I90)</f>
        <v>1500000</v>
      </c>
      <c r="J91" s="308"/>
      <c r="L91" s="203">
        <f>SUM(L87:L90)</f>
        <v>-650000</v>
      </c>
      <c r="N91" s="203">
        <f>SUM(N87:N90)</f>
        <v>850000</v>
      </c>
      <c r="O91" s="192"/>
      <c r="P91" s="236"/>
      <c r="Q91" s="192"/>
      <c r="R91" s="203">
        <f>SUM(R87:R90)</f>
        <v>0</v>
      </c>
      <c r="S91" s="192"/>
      <c r="T91" s="203">
        <f>SUM(T87:T90)</f>
        <v>0</v>
      </c>
      <c r="U91" s="216"/>
      <c r="V91" s="216"/>
      <c r="W91" s="217">
        <f>SUM(W87:W90)</f>
        <v>0</v>
      </c>
      <c r="X91" s="191"/>
      <c r="Y91" s="203">
        <f>SUM(Y87:Y90)</f>
        <v>0</v>
      </c>
      <c r="AA91" s="203">
        <f>SUM(AA87:AA90)</f>
        <v>0</v>
      </c>
      <c r="AC91" s="192"/>
      <c r="AD91" s="190"/>
      <c r="AE91" s="190"/>
      <c r="AF91" s="190"/>
      <c r="AG91" s="190"/>
    </row>
    <row r="92" spans="2:33" ht="14.25" customHeight="1" x14ac:dyDescent="0.3">
      <c r="G92" s="214"/>
      <c r="I92" s="215"/>
      <c r="J92" s="307"/>
      <c r="O92" s="192"/>
      <c r="P92" s="236"/>
      <c r="Q92" s="192"/>
      <c r="S92" s="192"/>
      <c r="U92" s="214"/>
      <c r="V92" s="214"/>
      <c r="W92" s="215"/>
      <c r="X92" s="191"/>
      <c r="AC92" s="192"/>
      <c r="AD92" s="190"/>
      <c r="AE92" s="190"/>
      <c r="AF92" s="190"/>
      <c r="AG92" s="190"/>
    </row>
    <row r="93" spans="2:33" ht="21" x14ac:dyDescent="0.3">
      <c r="C93" s="190" t="s">
        <v>398</v>
      </c>
      <c r="D93" s="206">
        <f>-'Ex. 3 T-accounts'!Z43</f>
        <v>-12000000</v>
      </c>
      <c r="F93" s="206">
        <f>-'Ex. 3 T-accounts'!AB43</f>
        <v>0</v>
      </c>
      <c r="G93" s="216"/>
      <c r="H93" s="192"/>
      <c r="I93" s="221">
        <f>D93+F93</f>
        <v>-12000000</v>
      </c>
      <c r="J93" s="308"/>
      <c r="L93" s="206">
        <f>-I93</f>
        <v>12000000</v>
      </c>
      <c r="M93" s="228" t="s">
        <v>161</v>
      </c>
      <c r="N93" s="191">
        <f>SUM(I93:L93)</f>
        <v>0</v>
      </c>
      <c r="O93" s="192"/>
      <c r="P93" s="236"/>
      <c r="Q93" s="192"/>
      <c r="R93" s="206"/>
      <c r="S93" s="192"/>
      <c r="T93" s="206"/>
      <c r="U93" s="216"/>
      <c r="V93" s="216"/>
      <c r="W93" s="221">
        <f>R93+T93</f>
        <v>0</v>
      </c>
      <c r="X93" s="191"/>
      <c r="Y93" s="206"/>
      <c r="AA93" s="206">
        <f>SUM(W93:Y93)</f>
        <v>0</v>
      </c>
      <c r="AC93" s="192"/>
      <c r="AD93" s="190"/>
      <c r="AE93" s="190"/>
      <c r="AF93" s="190"/>
      <c r="AG93" s="190"/>
    </row>
    <row r="94" spans="2:33" x14ac:dyDescent="0.3">
      <c r="C94" s="190" t="s">
        <v>408</v>
      </c>
      <c r="D94" s="203">
        <f>+D93</f>
        <v>-12000000</v>
      </c>
      <c r="F94" s="203">
        <f>+F93</f>
        <v>0</v>
      </c>
      <c r="G94" s="216"/>
      <c r="H94" s="192"/>
      <c r="I94" s="217">
        <f>+I93</f>
        <v>-12000000</v>
      </c>
      <c r="J94" s="308"/>
      <c r="L94" s="203">
        <f>+L93</f>
        <v>12000000</v>
      </c>
      <c r="N94" s="203">
        <f>+N93</f>
        <v>0</v>
      </c>
      <c r="O94" s="192"/>
      <c r="P94" s="236"/>
      <c r="Q94" s="192"/>
      <c r="R94" s="203">
        <f>+R93</f>
        <v>0</v>
      </c>
      <c r="S94" s="192"/>
      <c r="T94" s="203">
        <f>+T93</f>
        <v>0</v>
      </c>
      <c r="U94" s="216"/>
      <c r="V94" s="216"/>
      <c r="W94" s="203">
        <f>+W93</f>
        <v>0</v>
      </c>
      <c r="X94" s="191"/>
      <c r="Y94" s="203">
        <f>+Y93</f>
        <v>0</v>
      </c>
      <c r="AA94" s="203">
        <f>+AA93</f>
        <v>0</v>
      </c>
      <c r="AC94" s="192"/>
      <c r="AD94" s="190"/>
      <c r="AE94" s="190"/>
      <c r="AF94" s="190"/>
      <c r="AG94" s="190"/>
    </row>
    <row r="95" spans="2:33" ht="10.5" customHeight="1" x14ac:dyDescent="0.3">
      <c r="G95" s="214"/>
      <c r="I95" s="215"/>
      <c r="J95" s="307"/>
      <c r="O95" s="192"/>
      <c r="P95" s="236"/>
      <c r="Q95" s="192"/>
      <c r="S95" s="192"/>
      <c r="U95" s="216"/>
      <c r="V95" s="216"/>
      <c r="W95" s="215"/>
      <c r="X95" s="191"/>
      <c r="AC95" s="192"/>
      <c r="AD95" s="190"/>
      <c r="AE95" s="190"/>
      <c r="AF95" s="190"/>
      <c r="AG95" s="190"/>
    </row>
    <row r="96" spans="2:33" x14ac:dyDescent="0.3">
      <c r="C96" s="190" t="s">
        <v>370</v>
      </c>
      <c r="D96" s="191">
        <f>+D85+D91+D93</f>
        <v>-12015000</v>
      </c>
      <c r="F96" s="191">
        <f>+F85+F91+F93</f>
        <v>0</v>
      </c>
      <c r="G96" s="214"/>
      <c r="I96" s="215">
        <f t="shared" ref="I96" si="11">D96+F96</f>
        <v>-12015000</v>
      </c>
      <c r="J96" s="307"/>
      <c r="L96" s="191">
        <f>+L85+L91+L93</f>
        <v>11350000</v>
      </c>
      <c r="M96" s="201"/>
      <c r="N96" s="191">
        <f>SUM(I96:L96)</f>
        <v>-665000</v>
      </c>
      <c r="O96" s="192"/>
      <c r="P96" s="236"/>
      <c r="Q96" s="192"/>
      <c r="R96" s="191">
        <f>+R85+R91+R93</f>
        <v>0</v>
      </c>
      <c r="S96" s="192"/>
      <c r="U96" s="216"/>
      <c r="V96" s="216"/>
      <c r="W96" s="215">
        <f>+W85+W91+W93</f>
        <v>0</v>
      </c>
      <c r="X96" s="191"/>
      <c r="Y96" s="191">
        <f>+Y85+Y91+Y93</f>
        <v>0</v>
      </c>
      <c r="AA96" s="191">
        <f>+AA85+AA91+AA93</f>
        <v>0</v>
      </c>
      <c r="AC96" s="192"/>
      <c r="AD96" s="190"/>
      <c r="AE96" s="190"/>
      <c r="AF96" s="190"/>
      <c r="AG96" s="190"/>
    </row>
    <row r="97" spans="3:33" x14ac:dyDescent="0.3">
      <c r="C97" s="190" t="s">
        <v>382</v>
      </c>
      <c r="G97" s="214"/>
      <c r="I97" s="215"/>
      <c r="J97" s="307"/>
      <c r="N97" s="191">
        <f>SUM(I97:L97)</f>
        <v>0</v>
      </c>
      <c r="O97" s="192"/>
      <c r="P97" s="236"/>
      <c r="Q97" s="192"/>
      <c r="S97" s="192"/>
      <c r="U97" s="216"/>
      <c r="V97" s="216"/>
      <c r="W97" s="215">
        <f>R97+T97</f>
        <v>0</v>
      </c>
      <c r="X97" s="191"/>
      <c r="AA97" s="191">
        <f>SUM(W97:Y97)</f>
        <v>0</v>
      </c>
      <c r="AC97" s="192"/>
      <c r="AD97" s="190"/>
      <c r="AE97" s="190"/>
      <c r="AF97" s="190"/>
      <c r="AG97" s="190"/>
    </row>
    <row r="98" spans="3:33" ht="21.75" thickBot="1" x14ac:dyDescent="0.35">
      <c r="C98" s="190" t="s">
        <v>383</v>
      </c>
      <c r="D98" s="205">
        <f>+D96+D97</f>
        <v>-12015000</v>
      </c>
      <c r="F98" s="205">
        <f>+F96+F97</f>
        <v>0</v>
      </c>
      <c r="G98" s="216"/>
      <c r="H98" s="192"/>
      <c r="I98" s="219">
        <f>+I96+I97</f>
        <v>-12015000</v>
      </c>
      <c r="J98" s="308"/>
      <c r="L98" s="205">
        <f>+L96+L97</f>
        <v>11350000</v>
      </c>
      <c r="N98" s="205">
        <f>+N96+N97</f>
        <v>-665000</v>
      </c>
      <c r="O98" s="192"/>
      <c r="P98" s="236"/>
      <c r="Q98" s="192"/>
      <c r="R98" s="205">
        <f>+R96+R97</f>
        <v>0</v>
      </c>
      <c r="S98" s="192"/>
      <c r="T98" s="205">
        <f>T85</f>
        <v>0</v>
      </c>
      <c r="U98" s="216"/>
      <c r="V98" s="216"/>
      <c r="W98" s="219">
        <f>+W96+W97</f>
        <v>0</v>
      </c>
      <c r="X98" s="191"/>
      <c r="Y98" s="205">
        <f>+Y96+Y97</f>
        <v>0</v>
      </c>
      <c r="AA98" s="205">
        <f>+AA96+AA97</f>
        <v>0</v>
      </c>
      <c r="AC98" s="192"/>
      <c r="AD98" s="238"/>
      <c r="AE98" s="190"/>
      <c r="AF98" s="190"/>
      <c r="AG98" s="190"/>
    </row>
    <row r="99" spans="3:33" ht="19.5" thickTop="1" x14ac:dyDescent="0.3">
      <c r="D99" s="192">
        <f>+D76-D98</f>
        <v>0</v>
      </c>
      <c r="F99" s="192"/>
      <c r="G99" s="216"/>
      <c r="H99" s="192"/>
      <c r="I99" s="218"/>
      <c r="J99" s="308"/>
      <c r="O99" s="192"/>
      <c r="P99" s="192"/>
      <c r="Q99" s="192"/>
      <c r="R99" s="192"/>
      <c r="T99" s="192"/>
      <c r="U99" s="192"/>
      <c r="V99" s="192"/>
      <c r="W99" s="192"/>
      <c r="Y99" s="216"/>
      <c r="Z99" s="192"/>
      <c r="AA99" s="218"/>
      <c r="AC99" s="192"/>
      <c r="AD99" s="192"/>
      <c r="AE99" s="192"/>
    </row>
    <row r="100" spans="3:33" x14ac:dyDescent="0.3">
      <c r="O100" s="192"/>
      <c r="P100" s="192"/>
      <c r="Q100" s="192"/>
      <c r="U100" s="192"/>
      <c r="V100" s="192"/>
      <c r="AC100" s="192"/>
      <c r="AD100" s="192"/>
      <c r="AE100" s="192"/>
    </row>
    <row r="101" spans="3:33" x14ac:dyDescent="0.3">
      <c r="C101" s="291" t="s">
        <v>411</v>
      </c>
      <c r="D101" s="291"/>
      <c r="E101" s="291"/>
      <c r="F101" s="291"/>
      <c r="O101" s="192"/>
      <c r="P101" s="192"/>
      <c r="Q101" s="192"/>
      <c r="AC101" s="192"/>
      <c r="AD101" s="192"/>
      <c r="AE101" s="192"/>
    </row>
    <row r="102" spans="3:33" x14ac:dyDescent="0.3">
      <c r="C102" s="222"/>
      <c r="O102" s="192"/>
      <c r="P102" s="192"/>
      <c r="Q102" s="192"/>
      <c r="AC102" s="192"/>
      <c r="AD102" s="192"/>
      <c r="AE102" s="192"/>
    </row>
    <row r="103" spans="3:33" ht="21" x14ac:dyDescent="0.3">
      <c r="C103" s="229" t="s">
        <v>417</v>
      </c>
      <c r="D103" s="190" t="s">
        <v>421</v>
      </c>
      <c r="O103" s="192"/>
      <c r="P103" s="192"/>
      <c r="Q103" s="192"/>
      <c r="AC103" s="192"/>
      <c r="AD103" s="192"/>
      <c r="AE103" s="192"/>
    </row>
    <row r="104" spans="3:33" x14ac:dyDescent="0.3">
      <c r="C104" s="222"/>
      <c r="D104" s="190"/>
      <c r="O104" s="192"/>
      <c r="P104" s="192"/>
      <c r="Q104" s="192"/>
      <c r="AC104" s="192"/>
      <c r="AD104" s="192"/>
      <c r="AE104" s="192"/>
    </row>
    <row r="105" spans="3:33" ht="21" x14ac:dyDescent="0.3">
      <c r="C105" s="229" t="s">
        <v>160</v>
      </c>
      <c r="D105" s="190" t="s">
        <v>403</v>
      </c>
      <c r="O105" s="192"/>
      <c r="P105" s="192"/>
      <c r="Q105" s="192"/>
      <c r="AC105" s="192"/>
      <c r="AD105" s="192"/>
      <c r="AE105" s="192"/>
    </row>
    <row r="106" spans="3:33" x14ac:dyDescent="0.3">
      <c r="C106" s="222"/>
      <c r="D106" s="190"/>
      <c r="O106" s="192"/>
      <c r="P106" s="192"/>
      <c r="Q106" s="192"/>
      <c r="AC106" s="192"/>
      <c r="AD106" s="192"/>
      <c r="AE106" s="192"/>
    </row>
    <row r="107" spans="3:33" ht="21" x14ac:dyDescent="0.3">
      <c r="C107" s="229" t="s">
        <v>161</v>
      </c>
      <c r="D107" s="191" t="s">
        <v>412</v>
      </c>
      <c r="O107" s="192"/>
      <c r="P107" s="192"/>
      <c r="Q107" s="192"/>
      <c r="AC107" s="192"/>
      <c r="AD107" s="192"/>
      <c r="AE107" s="192"/>
    </row>
    <row r="108" spans="3:33" x14ac:dyDescent="0.3">
      <c r="D108" s="191" t="s">
        <v>413</v>
      </c>
      <c r="O108" s="192"/>
      <c r="P108" s="192"/>
      <c r="Q108" s="192"/>
    </row>
    <row r="109" spans="3:33" x14ac:dyDescent="0.3">
      <c r="D109" s="191" t="s">
        <v>414</v>
      </c>
      <c r="O109" s="192"/>
      <c r="P109" s="192"/>
      <c r="Q109" s="192"/>
    </row>
    <row r="110" spans="3:33" x14ac:dyDescent="0.3">
      <c r="O110" s="192"/>
      <c r="P110" s="192"/>
      <c r="Q110" s="192"/>
    </row>
    <row r="111" spans="3:33" ht="21" x14ac:dyDescent="0.3">
      <c r="C111" s="229" t="s">
        <v>162</v>
      </c>
      <c r="D111" s="192" t="s">
        <v>420</v>
      </c>
      <c r="F111" s="192"/>
      <c r="G111" s="192"/>
      <c r="H111" s="192"/>
      <c r="I111" s="192"/>
      <c r="J111" s="216"/>
      <c r="K111" s="192"/>
      <c r="L111" s="192"/>
      <c r="O111" s="192"/>
      <c r="P111" s="192"/>
      <c r="Q111" s="192"/>
    </row>
    <row r="112" spans="3:33" x14ac:dyDescent="0.3">
      <c r="D112" s="192"/>
      <c r="F112" s="192"/>
      <c r="G112" s="192"/>
      <c r="H112" s="192"/>
      <c r="I112" s="192"/>
      <c r="J112" s="216"/>
      <c r="K112" s="192"/>
      <c r="L112" s="192"/>
      <c r="O112" s="192"/>
      <c r="P112" s="192"/>
      <c r="Q112" s="192"/>
    </row>
    <row r="113" spans="4:17" x14ac:dyDescent="0.3">
      <c r="D113" s="192"/>
      <c r="F113" s="192"/>
      <c r="G113" s="192"/>
      <c r="H113" s="192"/>
      <c r="I113" s="192"/>
      <c r="J113" s="216"/>
      <c r="K113" s="192"/>
      <c r="L113" s="192"/>
      <c r="O113" s="192"/>
      <c r="P113" s="192"/>
      <c r="Q113" s="192"/>
    </row>
    <row r="114" spans="4:17" x14ac:dyDescent="0.3">
      <c r="D114" s="192"/>
      <c r="F114" s="232"/>
      <c r="G114" s="192"/>
      <c r="H114" s="192"/>
      <c r="I114" s="192"/>
      <c r="J114" s="216"/>
      <c r="K114" s="192"/>
      <c r="L114" s="192"/>
      <c r="O114" s="192"/>
      <c r="P114" s="192"/>
      <c r="Q114" s="192"/>
    </row>
    <row r="115" spans="4:17" x14ac:dyDescent="0.3">
      <c r="D115" s="192"/>
      <c r="F115" s="192"/>
      <c r="G115" s="192"/>
      <c r="H115" s="192"/>
      <c r="I115" s="192"/>
      <c r="J115" s="216"/>
      <c r="K115" s="192"/>
      <c r="L115" s="192"/>
      <c r="O115" s="192"/>
      <c r="P115" s="192"/>
      <c r="Q115" s="192"/>
    </row>
    <row r="116" spans="4:17" x14ac:dyDescent="0.3">
      <c r="D116" s="192"/>
      <c r="F116" s="192"/>
      <c r="G116" s="192"/>
      <c r="H116" s="192"/>
      <c r="I116" s="192"/>
      <c r="J116" s="216"/>
      <c r="K116" s="192"/>
      <c r="L116" s="192"/>
      <c r="O116" s="192"/>
      <c r="P116" s="192"/>
      <c r="Q116" s="192"/>
    </row>
    <row r="117" spans="4:17" x14ac:dyDescent="0.3">
      <c r="O117" s="192"/>
      <c r="P117" s="192"/>
      <c r="Q117" s="192"/>
    </row>
    <row r="118" spans="4:17" x14ac:dyDescent="0.3">
      <c r="O118" s="192"/>
      <c r="P118" s="192"/>
      <c r="Q118" s="192"/>
    </row>
    <row r="119" spans="4:17" x14ac:dyDescent="0.3">
      <c r="O119" s="192"/>
      <c r="P119" s="192"/>
      <c r="Q119" s="192"/>
    </row>
  </sheetData>
  <mergeCells count="17">
    <mergeCell ref="C101:F101"/>
    <mergeCell ref="I6:I7"/>
    <mergeCell ref="L6:L7"/>
    <mergeCell ref="L30:L31"/>
    <mergeCell ref="D6:F6"/>
    <mergeCell ref="D29:R29"/>
    <mergeCell ref="D30:F30"/>
    <mergeCell ref="I30:I31"/>
    <mergeCell ref="N30:N31"/>
    <mergeCell ref="D5:R5"/>
    <mergeCell ref="R30:R31"/>
    <mergeCell ref="D56:N56"/>
    <mergeCell ref="R56:AA56"/>
    <mergeCell ref="R79:AA79"/>
    <mergeCell ref="D79:N79"/>
    <mergeCell ref="N6:N7"/>
    <mergeCell ref="R6:R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9"/>
  <sheetViews>
    <sheetView workbookViewId="0"/>
    <sheetView workbookViewId="1"/>
  </sheetViews>
  <sheetFormatPr defaultRowHeight="15" x14ac:dyDescent="0.25"/>
  <cols>
    <col min="2" max="2" width="12.42578125" customWidth="1"/>
    <col min="3" max="3" width="9.85546875" bestFit="1" customWidth="1"/>
    <col min="4" max="4" width="9.85546875" customWidth="1"/>
    <col min="5" max="5" width="12.42578125" style="1" customWidth="1"/>
    <col min="6" max="6" width="17" style="1" customWidth="1"/>
    <col min="7" max="7" width="17.85546875" style="1" customWidth="1"/>
    <col min="8" max="8" width="9" style="1"/>
  </cols>
  <sheetData>
    <row r="1" spans="1:8" ht="18.75" x14ac:dyDescent="0.25">
      <c r="A1" t="s">
        <v>61</v>
      </c>
      <c r="H1" s="174" t="s">
        <v>348</v>
      </c>
    </row>
    <row r="16" spans="1:8" ht="15.75" x14ac:dyDescent="0.25">
      <c r="A16" s="36"/>
    </row>
    <row r="17" spans="1:8" x14ac:dyDescent="0.25">
      <c r="A17" s="23"/>
    </row>
    <row r="18" spans="1:8" ht="15.75" x14ac:dyDescent="0.25">
      <c r="A18" s="36"/>
      <c r="C18" s="40" t="s">
        <v>27</v>
      </c>
      <c r="D18" s="41" t="s">
        <v>28</v>
      </c>
      <c r="E18" s="41" t="s">
        <v>34</v>
      </c>
      <c r="F18" s="41" t="s">
        <v>29</v>
      </c>
      <c r="G18" s="41" t="s">
        <v>1</v>
      </c>
      <c r="H18"/>
    </row>
    <row r="19" spans="1:8" x14ac:dyDescent="0.25">
      <c r="A19" s="23"/>
      <c r="C19" s="37">
        <v>44012</v>
      </c>
      <c r="D19" s="83">
        <f>+'Ex. 1 Amortization table'!J8</f>
        <v>11910</v>
      </c>
      <c r="E19" s="83">
        <f>+F19+G19</f>
        <v>11910</v>
      </c>
      <c r="F19" s="83">
        <f>+'Ex. 1 Amortization table'!H8</f>
        <v>810.06999999999994</v>
      </c>
      <c r="G19" s="83">
        <f>+'Ex. 1 Amortization table'!I8</f>
        <v>11099.93</v>
      </c>
      <c r="H19"/>
    </row>
    <row r="20" spans="1:8" x14ac:dyDescent="0.25">
      <c r="A20" s="23"/>
      <c r="C20" s="37">
        <v>44377</v>
      </c>
      <c r="D20" s="1">
        <f>+'Ex. 1 Amortization table'!J20</f>
        <v>63899.999999999993</v>
      </c>
      <c r="E20" s="1">
        <f>+F20+G20</f>
        <v>63899.999999999993</v>
      </c>
      <c r="F20" s="1">
        <f>+'Ex. 1 Amortization table'!H20</f>
        <v>3008.6399999999994</v>
      </c>
      <c r="G20" s="1">
        <f>+'Ex. 1 Amortization table'!I20</f>
        <v>60891.359999999993</v>
      </c>
      <c r="H20"/>
    </row>
    <row r="21" spans="1:8" x14ac:dyDescent="0.25">
      <c r="A21" s="23"/>
      <c r="C21" s="37">
        <v>44742</v>
      </c>
      <c r="D21" s="1">
        <f>+'Ex. 1 Amortization table'!L32</f>
        <v>50940</v>
      </c>
      <c r="E21" s="1">
        <f>+F21+G21</f>
        <v>28431.45</v>
      </c>
      <c r="F21" s="1">
        <f>+'Ex. 1 Amortization table'!H32</f>
        <v>422.74</v>
      </c>
      <c r="G21" s="1">
        <f>+'Ex. 1 Amortization table'!I32</f>
        <v>28008.71</v>
      </c>
      <c r="H21" t="s">
        <v>30</v>
      </c>
    </row>
    <row r="22" spans="1:8" ht="15.75" thickBot="1" x14ac:dyDescent="0.3">
      <c r="A22" s="23"/>
      <c r="C22" s="37"/>
      <c r="D22" s="37"/>
      <c r="F22" s="43">
        <f>SUM(F19:F21)</f>
        <v>4241.4499999999989</v>
      </c>
      <c r="G22" s="43">
        <f>SUM(G19:G21)</f>
        <v>100000</v>
      </c>
      <c r="H22"/>
    </row>
    <row r="23" spans="1:8" ht="15.75" thickTop="1" x14ac:dyDescent="0.25">
      <c r="A23" s="23"/>
      <c r="C23" s="37"/>
      <c r="D23" s="37"/>
    </row>
    <row r="24" spans="1:8" x14ac:dyDescent="0.25">
      <c r="A24" s="23"/>
      <c r="C24" s="37" t="s">
        <v>341</v>
      </c>
      <c r="D24" s="37"/>
    </row>
    <row r="25" spans="1:8" x14ac:dyDescent="0.25">
      <c r="A25" s="23"/>
      <c r="C25" s="37"/>
      <c r="D25" s="37"/>
    </row>
    <row r="26" spans="1:8" x14ac:dyDescent="0.25">
      <c r="A26" s="23"/>
      <c r="C26" s="37"/>
      <c r="D26" s="37"/>
    </row>
    <row r="27" spans="1:8" x14ac:dyDescent="0.25">
      <c r="A27" s="23"/>
      <c r="C27" s="37"/>
      <c r="D27" s="37"/>
    </row>
    <row r="28" spans="1:8" x14ac:dyDescent="0.25">
      <c r="A28" s="23"/>
      <c r="C28" s="37"/>
      <c r="D28" s="37"/>
    </row>
    <row r="29" spans="1:8" x14ac:dyDescent="0.25">
      <c r="A29" s="23"/>
      <c r="C29" s="37"/>
      <c r="D29" s="37"/>
    </row>
    <row r="30" spans="1:8" x14ac:dyDescent="0.25">
      <c r="A30" s="23"/>
      <c r="C30" s="37"/>
      <c r="D30" s="37"/>
    </row>
    <row r="31" spans="1:8" x14ac:dyDescent="0.25">
      <c r="A31" s="23"/>
      <c r="C31" s="37"/>
      <c r="D31" s="37"/>
    </row>
    <row r="32" spans="1:8" ht="15.75" thickBot="1" x14ac:dyDescent="0.3">
      <c r="A32" s="23"/>
      <c r="B32" t="s">
        <v>31</v>
      </c>
    </row>
    <row r="33" spans="3:8" s="166" customFormat="1" ht="30.75" thickBot="1" x14ac:dyDescent="0.3">
      <c r="D33" s="167">
        <f>SUM(E35:E129)</f>
        <v>195230</v>
      </c>
      <c r="E33" s="168" t="s">
        <v>342</v>
      </c>
      <c r="F33" s="168" t="s">
        <v>343</v>
      </c>
      <c r="G33" s="168" t="s">
        <v>344</v>
      </c>
      <c r="H33" s="168"/>
    </row>
    <row r="34" spans="3:8" x14ac:dyDescent="0.25">
      <c r="C34" s="24">
        <v>43952</v>
      </c>
      <c r="D34" s="27"/>
      <c r="E34" s="27"/>
    </row>
    <row r="35" spans="3:8" x14ac:dyDescent="0.25">
      <c r="C35" s="24">
        <v>43982</v>
      </c>
      <c r="D35" s="27">
        <v>6000</v>
      </c>
      <c r="E35" s="27"/>
      <c r="G35" s="27"/>
    </row>
    <row r="36" spans="3:8" x14ac:dyDescent="0.25">
      <c r="C36" s="2">
        <v>44012</v>
      </c>
      <c r="D36" s="28">
        <v>5910</v>
      </c>
      <c r="E36" s="94">
        <f>SUM(D35:D36)</f>
        <v>11910</v>
      </c>
      <c r="F36" s="28">
        <f>+D37+D38</f>
        <v>11550</v>
      </c>
      <c r="G36" s="27"/>
    </row>
    <row r="37" spans="3:8" x14ac:dyDescent="0.25">
      <c r="C37" s="24">
        <v>44043</v>
      </c>
      <c r="D37" s="27">
        <v>5820</v>
      </c>
      <c r="E37" s="38"/>
      <c r="G37" s="27"/>
    </row>
    <row r="38" spans="3:8" x14ac:dyDescent="0.25">
      <c r="C38" s="24">
        <v>44074</v>
      </c>
      <c r="D38" s="27">
        <v>5730</v>
      </c>
      <c r="E38" s="38"/>
      <c r="G38" s="27"/>
    </row>
    <row r="39" spans="3:8" x14ac:dyDescent="0.25">
      <c r="C39" s="24">
        <v>44104</v>
      </c>
      <c r="D39" s="27">
        <v>5640</v>
      </c>
      <c r="E39" s="38"/>
      <c r="G39" s="27"/>
    </row>
    <row r="40" spans="3:8" x14ac:dyDescent="0.25">
      <c r="C40" s="24">
        <v>44135</v>
      </c>
      <c r="D40" s="27">
        <v>5550</v>
      </c>
      <c r="E40" s="38"/>
      <c r="G40" s="27"/>
    </row>
    <row r="41" spans="3:8" x14ac:dyDescent="0.25">
      <c r="C41" s="24">
        <v>44165</v>
      </c>
      <c r="D41" s="27">
        <v>5460</v>
      </c>
      <c r="E41" s="38"/>
      <c r="G41" s="27"/>
    </row>
    <row r="42" spans="3:8" x14ac:dyDescent="0.25">
      <c r="C42" s="24">
        <v>44196</v>
      </c>
      <c r="D42" s="27">
        <v>5370</v>
      </c>
      <c r="E42" s="38"/>
      <c r="G42" s="27"/>
    </row>
    <row r="43" spans="3:8" x14ac:dyDescent="0.25">
      <c r="C43" s="24">
        <v>44227</v>
      </c>
      <c r="D43" s="27">
        <v>5280</v>
      </c>
      <c r="E43" s="38"/>
      <c r="G43" s="27"/>
    </row>
    <row r="44" spans="3:8" x14ac:dyDescent="0.25">
      <c r="C44" s="24">
        <v>44255</v>
      </c>
      <c r="D44" s="27">
        <v>5190</v>
      </c>
      <c r="E44" s="38"/>
      <c r="G44" s="27"/>
    </row>
    <row r="45" spans="3:8" x14ac:dyDescent="0.25">
      <c r="C45" s="24">
        <v>44286</v>
      </c>
      <c r="D45" s="27">
        <v>5100</v>
      </c>
      <c r="E45" s="38"/>
      <c r="G45" s="27"/>
    </row>
    <row r="46" spans="3:8" x14ac:dyDescent="0.25">
      <c r="C46" s="24">
        <v>44316</v>
      </c>
      <c r="D46" s="27">
        <v>5010</v>
      </c>
      <c r="E46" s="39"/>
      <c r="G46" s="27"/>
    </row>
    <row r="47" spans="3:8" x14ac:dyDescent="0.25">
      <c r="C47" s="24">
        <v>44347</v>
      </c>
      <c r="D47" s="27">
        <v>4920</v>
      </c>
      <c r="E47" s="39"/>
      <c r="G47" s="27"/>
    </row>
    <row r="48" spans="3:8" x14ac:dyDescent="0.25">
      <c r="C48" s="2">
        <v>44377</v>
      </c>
      <c r="D48" s="28">
        <v>4830</v>
      </c>
      <c r="E48" s="28">
        <f>SUM(D37:D48)</f>
        <v>63900</v>
      </c>
      <c r="F48" s="28">
        <f>+D50+D49</f>
        <v>9390</v>
      </c>
      <c r="G48" s="28">
        <f>+F48-F36</f>
        <v>-2160</v>
      </c>
    </row>
    <row r="49" spans="3:7" x14ac:dyDescent="0.25">
      <c r="C49" s="24">
        <v>44408</v>
      </c>
      <c r="D49" s="27">
        <v>4740</v>
      </c>
      <c r="E49" s="27"/>
    </row>
    <row r="50" spans="3:7" x14ac:dyDescent="0.25">
      <c r="C50" s="24">
        <v>44439</v>
      </c>
      <c r="D50" s="27">
        <v>4650</v>
      </c>
      <c r="E50" s="27"/>
    </row>
    <row r="51" spans="3:7" x14ac:dyDescent="0.25">
      <c r="C51" s="24">
        <v>44469</v>
      </c>
      <c r="D51" s="27">
        <v>4560</v>
      </c>
      <c r="E51" s="27"/>
    </row>
    <row r="52" spans="3:7" x14ac:dyDescent="0.25">
      <c r="C52" s="24">
        <v>44500</v>
      </c>
      <c r="D52" s="27">
        <v>4470</v>
      </c>
      <c r="E52" s="27"/>
    </row>
    <row r="53" spans="3:7" x14ac:dyDescent="0.25">
      <c r="C53" s="24">
        <v>44530</v>
      </c>
      <c r="D53" s="27">
        <v>4380</v>
      </c>
      <c r="E53" s="27"/>
    </row>
    <row r="54" spans="3:7" x14ac:dyDescent="0.25">
      <c r="C54" s="24">
        <v>44561</v>
      </c>
      <c r="D54" s="27">
        <v>4290</v>
      </c>
      <c r="E54" s="27"/>
    </row>
    <row r="55" spans="3:7" x14ac:dyDescent="0.25">
      <c r="C55" s="24">
        <v>44592</v>
      </c>
      <c r="D55" s="27">
        <v>4200</v>
      </c>
      <c r="E55" s="27"/>
    </row>
    <row r="56" spans="3:7" x14ac:dyDescent="0.25">
      <c r="C56" s="24">
        <v>44620</v>
      </c>
      <c r="D56" s="27">
        <v>4110</v>
      </c>
      <c r="E56" s="27"/>
    </row>
    <row r="57" spans="3:7" x14ac:dyDescent="0.25">
      <c r="C57" s="24">
        <v>44651</v>
      </c>
      <c r="D57" s="27">
        <v>4020</v>
      </c>
      <c r="E57" s="27"/>
    </row>
    <row r="58" spans="3:7" x14ac:dyDescent="0.25">
      <c r="C58" s="24">
        <v>44681</v>
      </c>
      <c r="D58" s="27">
        <v>3930</v>
      </c>
      <c r="E58" s="27"/>
    </row>
    <row r="59" spans="3:7" x14ac:dyDescent="0.25">
      <c r="C59" s="24">
        <v>44712</v>
      </c>
      <c r="D59" s="27">
        <v>3840</v>
      </c>
      <c r="E59" s="27"/>
    </row>
    <row r="60" spans="3:7" x14ac:dyDescent="0.25">
      <c r="C60" s="2">
        <v>44742</v>
      </c>
      <c r="D60" s="28">
        <v>3750</v>
      </c>
      <c r="E60" s="28">
        <f>SUM(D49:D60)</f>
        <v>50940</v>
      </c>
      <c r="F60" s="28">
        <f>+D62+D61</f>
        <v>7160</v>
      </c>
      <c r="G60" s="28">
        <f>+F60-F48</f>
        <v>-2230</v>
      </c>
    </row>
    <row r="61" spans="3:7" x14ac:dyDescent="0.25">
      <c r="C61" s="24">
        <v>44773</v>
      </c>
      <c r="D61" s="27">
        <v>3660</v>
      </c>
      <c r="E61" s="27"/>
    </row>
    <row r="62" spans="3:7" x14ac:dyDescent="0.25">
      <c r="C62" s="24">
        <v>44804</v>
      </c>
      <c r="D62" s="27">
        <v>3500</v>
      </c>
      <c r="E62" s="27"/>
    </row>
    <row r="63" spans="3:7" x14ac:dyDescent="0.25">
      <c r="C63" s="24">
        <v>44834</v>
      </c>
      <c r="D63" s="27">
        <v>3480</v>
      </c>
      <c r="E63" s="27"/>
    </row>
    <row r="64" spans="3:7" x14ac:dyDescent="0.25">
      <c r="C64" s="24">
        <v>44865</v>
      </c>
      <c r="D64" s="27">
        <v>3390</v>
      </c>
      <c r="E64" s="27"/>
    </row>
    <row r="65" spans="3:7" x14ac:dyDescent="0.25">
      <c r="C65" s="24">
        <v>44895</v>
      </c>
      <c r="D65" s="27">
        <v>3300</v>
      </c>
      <c r="E65" s="27"/>
    </row>
    <row r="66" spans="3:7" x14ac:dyDescent="0.25">
      <c r="C66" s="24">
        <v>44926</v>
      </c>
      <c r="D66" s="27">
        <v>3210</v>
      </c>
      <c r="E66" s="27"/>
    </row>
    <row r="67" spans="3:7" x14ac:dyDescent="0.25">
      <c r="C67" s="24">
        <v>44957</v>
      </c>
      <c r="D67" s="27">
        <v>3120</v>
      </c>
      <c r="E67" s="27"/>
    </row>
    <row r="68" spans="3:7" x14ac:dyDescent="0.25">
      <c r="C68" s="24">
        <v>44985</v>
      </c>
      <c r="D68" s="27">
        <v>3030</v>
      </c>
      <c r="E68" s="27"/>
    </row>
    <row r="69" spans="3:7" x14ac:dyDescent="0.25">
      <c r="C69" s="24">
        <v>45016</v>
      </c>
      <c r="D69" s="27">
        <v>2940</v>
      </c>
      <c r="E69" s="27"/>
    </row>
    <row r="70" spans="3:7" x14ac:dyDescent="0.25">
      <c r="C70" s="24">
        <v>45046</v>
      </c>
      <c r="D70" s="27">
        <v>2850</v>
      </c>
      <c r="E70" s="27"/>
    </row>
    <row r="71" spans="3:7" x14ac:dyDescent="0.25">
      <c r="C71" s="24">
        <v>45077</v>
      </c>
      <c r="D71" s="27">
        <v>2760</v>
      </c>
      <c r="E71" s="27"/>
    </row>
    <row r="72" spans="3:7" x14ac:dyDescent="0.25">
      <c r="C72" s="2">
        <v>45107</v>
      </c>
      <c r="D72" s="28">
        <v>2670</v>
      </c>
      <c r="E72" s="28">
        <f>SUM(D61:D72)</f>
        <v>37910</v>
      </c>
      <c r="F72" s="28">
        <f>+D74+D73</f>
        <v>5070</v>
      </c>
      <c r="G72" s="28">
        <f>+F72-F60</f>
        <v>-2090</v>
      </c>
    </row>
    <row r="73" spans="3:7" x14ac:dyDescent="0.25">
      <c r="C73" s="24">
        <v>45138</v>
      </c>
      <c r="D73" s="27">
        <v>2580</v>
      </c>
      <c r="E73" s="27"/>
    </row>
    <row r="74" spans="3:7" x14ac:dyDescent="0.25">
      <c r="C74" s="24">
        <v>45169</v>
      </c>
      <c r="D74" s="27">
        <v>2490</v>
      </c>
      <c r="E74" s="27"/>
    </row>
    <row r="75" spans="3:7" x14ac:dyDescent="0.25">
      <c r="C75" s="24">
        <v>45199</v>
      </c>
      <c r="D75" s="27">
        <v>2400</v>
      </c>
      <c r="E75" s="27"/>
    </row>
    <row r="76" spans="3:7" x14ac:dyDescent="0.25">
      <c r="C76" s="24">
        <v>45230</v>
      </c>
      <c r="D76" s="27">
        <v>2310</v>
      </c>
      <c r="E76" s="27"/>
    </row>
    <row r="77" spans="3:7" x14ac:dyDescent="0.25">
      <c r="C77" s="24">
        <v>45260</v>
      </c>
      <c r="D77" s="27">
        <v>2220</v>
      </c>
      <c r="E77" s="27"/>
    </row>
    <row r="78" spans="3:7" x14ac:dyDescent="0.25">
      <c r="C78" s="24">
        <v>45291</v>
      </c>
      <c r="D78" s="27">
        <v>0</v>
      </c>
      <c r="E78" s="27"/>
    </row>
    <row r="79" spans="3:7" x14ac:dyDescent="0.25">
      <c r="C79" s="24">
        <v>45322</v>
      </c>
      <c r="D79" s="27">
        <v>2130</v>
      </c>
      <c r="E79" s="27"/>
    </row>
    <row r="80" spans="3:7" x14ac:dyDescent="0.25">
      <c r="C80" s="24">
        <v>45351</v>
      </c>
      <c r="D80" s="27">
        <v>2040</v>
      </c>
      <c r="E80" s="27"/>
    </row>
    <row r="81" spans="3:7" x14ac:dyDescent="0.25">
      <c r="C81" s="24">
        <v>45382</v>
      </c>
      <c r="D81" s="27">
        <v>1950</v>
      </c>
      <c r="E81" s="27"/>
    </row>
    <row r="82" spans="3:7" x14ac:dyDescent="0.25">
      <c r="C82" s="24">
        <v>45412</v>
      </c>
      <c r="D82" s="27">
        <v>1860</v>
      </c>
      <c r="E82" s="27"/>
    </row>
    <row r="83" spans="3:7" x14ac:dyDescent="0.25">
      <c r="C83" s="24">
        <v>45443</v>
      </c>
      <c r="D83" s="27">
        <v>0</v>
      </c>
      <c r="E83" s="27"/>
    </row>
    <row r="84" spans="3:7" x14ac:dyDescent="0.25">
      <c r="C84" s="2">
        <v>45473</v>
      </c>
      <c r="D84" s="28">
        <v>1770</v>
      </c>
      <c r="E84" s="28">
        <f>SUM(D73:D84)</f>
        <v>21750</v>
      </c>
      <c r="F84" s="28">
        <f>+D86+D85</f>
        <v>3270</v>
      </c>
      <c r="G84" s="28">
        <f>+F84-F72</f>
        <v>-1800</v>
      </c>
    </row>
    <row r="85" spans="3:7" x14ac:dyDescent="0.25">
      <c r="C85" s="24">
        <v>45504</v>
      </c>
      <c r="D85" s="27">
        <v>1680</v>
      </c>
      <c r="E85" s="27"/>
    </row>
    <row r="86" spans="3:7" x14ac:dyDescent="0.25">
      <c r="C86" s="24">
        <v>45535</v>
      </c>
      <c r="D86" s="27">
        <v>1590</v>
      </c>
      <c r="E86" s="27"/>
    </row>
    <row r="87" spans="3:7" x14ac:dyDescent="0.25">
      <c r="C87" s="24">
        <v>45565</v>
      </c>
      <c r="D87" s="27">
        <v>0</v>
      </c>
      <c r="E87" s="27"/>
    </row>
    <row r="88" spans="3:7" x14ac:dyDescent="0.25">
      <c r="C88" s="24">
        <v>45596</v>
      </c>
      <c r="D88" s="27">
        <v>1500</v>
      </c>
      <c r="E88" s="27"/>
    </row>
    <row r="89" spans="3:7" x14ac:dyDescent="0.25">
      <c r="C89" s="24">
        <v>45626</v>
      </c>
      <c r="D89" s="27">
        <v>1410</v>
      </c>
      <c r="E89" s="27"/>
    </row>
    <row r="90" spans="3:7" x14ac:dyDescent="0.25">
      <c r="C90" s="24">
        <v>45657</v>
      </c>
      <c r="D90" s="27">
        <v>1320</v>
      </c>
      <c r="E90" s="27"/>
    </row>
    <row r="91" spans="3:7" x14ac:dyDescent="0.25">
      <c r="C91" s="24">
        <v>45688</v>
      </c>
      <c r="D91" s="27">
        <v>0</v>
      </c>
      <c r="E91" s="27"/>
    </row>
    <row r="92" spans="3:7" x14ac:dyDescent="0.25">
      <c r="C92" s="24">
        <v>45716</v>
      </c>
      <c r="D92" s="27">
        <v>1320</v>
      </c>
      <c r="E92" s="27"/>
    </row>
    <row r="93" spans="3:7" x14ac:dyDescent="0.25">
      <c r="C93" s="24">
        <v>45747</v>
      </c>
      <c r="D93" s="27">
        <v>0</v>
      </c>
      <c r="E93" s="27"/>
    </row>
    <row r="94" spans="3:7" x14ac:dyDescent="0.25">
      <c r="C94" s="24">
        <v>45777</v>
      </c>
      <c r="D94" s="27">
        <v>0</v>
      </c>
      <c r="E94" s="27"/>
    </row>
    <row r="95" spans="3:7" x14ac:dyDescent="0.25">
      <c r="C95" s="24">
        <v>45808</v>
      </c>
      <c r="D95" s="27">
        <v>0</v>
      </c>
      <c r="E95" s="16"/>
      <c r="F95" s="27"/>
    </row>
    <row r="96" spans="3:7" x14ac:dyDescent="0.25">
      <c r="C96" s="2">
        <v>45838</v>
      </c>
      <c r="D96" s="28">
        <v>0</v>
      </c>
      <c r="E96" s="28">
        <f>SUM(D85:D96)</f>
        <v>8820</v>
      </c>
      <c r="F96" s="28">
        <f>+D98+D97</f>
        <v>0</v>
      </c>
      <c r="G96" s="28">
        <f>+F96-F84</f>
        <v>-3270</v>
      </c>
    </row>
    <row r="97" spans="3:4" x14ac:dyDescent="0.25">
      <c r="C97" s="24"/>
      <c r="D97" s="24"/>
    </row>
    <row r="98" spans="3:4" x14ac:dyDescent="0.25">
      <c r="C98" s="24"/>
      <c r="D98" s="24"/>
    </row>
    <row r="99" spans="3:4" x14ac:dyDescent="0.25">
      <c r="C99" s="24"/>
      <c r="D99" s="24"/>
    </row>
    <row r="100" spans="3:4" x14ac:dyDescent="0.25">
      <c r="C100" s="24"/>
      <c r="D100" s="24"/>
    </row>
    <row r="101" spans="3:4" x14ac:dyDescent="0.25">
      <c r="C101" s="24"/>
      <c r="D101" s="24"/>
    </row>
    <row r="102" spans="3:4" x14ac:dyDescent="0.25">
      <c r="C102" s="24"/>
      <c r="D102" s="24"/>
    </row>
    <row r="103" spans="3:4" x14ac:dyDescent="0.25">
      <c r="C103" s="24"/>
      <c r="D103" s="24"/>
    </row>
    <row r="104" spans="3:4" x14ac:dyDescent="0.25">
      <c r="C104" s="24"/>
      <c r="D104" s="24"/>
    </row>
    <row r="105" spans="3:4" x14ac:dyDescent="0.25">
      <c r="C105" s="24"/>
      <c r="D105" s="24"/>
    </row>
    <row r="106" spans="3:4" x14ac:dyDescent="0.25">
      <c r="C106" s="24"/>
      <c r="D106" s="24"/>
    </row>
    <row r="107" spans="3:4" x14ac:dyDescent="0.25">
      <c r="C107" s="24"/>
      <c r="D107" s="24"/>
    </row>
    <row r="108" spans="3:4" x14ac:dyDescent="0.25">
      <c r="C108" s="24"/>
      <c r="D108" s="24"/>
    </row>
    <row r="109" spans="3:4" x14ac:dyDescent="0.25">
      <c r="C109" s="24"/>
      <c r="D109" s="24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8194" r:id="rId4">
          <objectPr defaultSize="0" r:id="rId5">
            <anchor moveWithCells="1">
              <from>
                <xdr:col>0</xdr:col>
                <xdr:colOff>628650</xdr:colOff>
                <xdr:row>25</xdr:row>
                <xdr:rowOff>0</xdr:rowOff>
              </from>
              <to>
                <xdr:col>7</xdr:col>
                <xdr:colOff>247650</xdr:colOff>
                <xdr:row>29</xdr:row>
                <xdr:rowOff>114300</xdr:rowOff>
              </to>
            </anchor>
          </objectPr>
        </oleObject>
      </mc:Choice>
      <mc:Fallback>
        <oleObject progId="Word.Document.12" shapeId="8194" r:id="rId4"/>
      </mc:Fallback>
    </mc:AlternateContent>
    <mc:AlternateContent xmlns:mc="http://schemas.openxmlformats.org/markup-compatibility/2006">
      <mc:Choice Requires="x14">
        <oleObject progId="Word.Document.12" shapeId="8197" r:id="rId6">
          <objectPr defaultSize="0" r:id="rId7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7</xdr:col>
                <xdr:colOff>638175</xdr:colOff>
                <xdr:row>16</xdr:row>
                <xdr:rowOff>47625</xdr:rowOff>
              </to>
            </anchor>
          </objectPr>
        </oleObject>
      </mc:Choice>
      <mc:Fallback>
        <oleObject progId="Word.Document.12" shapeId="8197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workbookViewId="0"/>
    <sheetView workbookViewId="1"/>
  </sheetViews>
  <sheetFormatPr defaultRowHeight="15" x14ac:dyDescent="0.25"/>
  <cols>
    <col min="2" max="2" width="10.42578125" customWidth="1"/>
    <col min="3" max="4" width="12.140625" style="1" customWidth="1"/>
    <col min="5" max="5" width="9.140625" style="1" bestFit="1" customWidth="1"/>
    <col min="6" max="6" width="10.85546875" style="1" bestFit="1" customWidth="1"/>
    <col min="7" max="7" width="11" style="1" bestFit="1" customWidth="1"/>
    <col min="8" max="8" width="9.140625" style="1" bestFit="1" customWidth="1"/>
    <col min="9" max="10" width="10.85546875" style="1" bestFit="1" customWidth="1"/>
  </cols>
  <sheetData>
    <row r="1" spans="1:10" ht="18.75" x14ac:dyDescent="0.25">
      <c r="A1" t="s">
        <v>33</v>
      </c>
      <c r="F1" s="174" t="s">
        <v>348</v>
      </c>
    </row>
    <row r="4" spans="1:10" s="3" customFormat="1" ht="41.25" customHeight="1" x14ac:dyDescent="0.25">
      <c r="C4" s="240" t="s">
        <v>0</v>
      </c>
      <c r="D4" s="240" t="s">
        <v>4</v>
      </c>
      <c r="E4" s="26" t="s">
        <v>3</v>
      </c>
      <c r="F4" s="240" t="s">
        <v>1</v>
      </c>
      <c r="G4" s="240" t="s">
        <v>2</v>
      </c>
      <c r="H4" s="240" t="s">
        <v>5</v>
      </c>
      <c r="I4" s="240" t="s">
        <v>6</v>
      </c>
      <c r="J4" s="240" t="s">
        <v>422</v>
      </c>
    </row>
    <row r="5" spans="1:10" s="3" customFormat="1" x14ac:dyDescent="0.25">
      <c r="C5" s="240"/>
      <c r="D5" s="240"/>
      <c r="E5" s="4">
        <v>0.05</v>
      </c>
      <c r="F5" s="240"/>
      <c r="G5" s="240"/>
      <c r="H5" s="240"/>
      <c r="I5" s="240"/>
      <c r="J5" s="240"/>
    </row>
    <row r="6" spans="1:10" x14ac:dyDescent="0.25">
      <c r="A6" t="s">
        <v>26</v>
      </c>
      <c r="B6" s="24">
        <v>43952</v>
      </c>
      <c r="C6" s="27">
        <f>'Example 1 Assumptions '!D34</f>
        <v>0</v>
      </c>
      <c r="G6" s="1">
        <v>100000</v>
      </c>
    </row>
    <row r="7" spans="1:10" x14ac:dyDescent="0.25">
      <c r="A7">
        <v>1</v>
      </c>
      <c r="B7" s="24">
        <v>43982</v>
      </c>
      <c r="C7" s="27">
        <f>'Example 1 Assumptions '!D35</f>
        <v>6000</v>
      </c>
      <c r="D7" s="1">
        <f>+C7</f>
        <v>6000</v>
      </c>
      <c r="E7" s="1">
        <f>ROUND(+G6*(+E$5/12),2)</f>
        <v>416.67</v>
      </c>
      <c r="F7" s="1">
        <f>+D7-E7</f>
        <v>5583.33</v>
      </c>
      <c r="G7" s="1">
        <f>+G6-F7</f>
        <v>94416.67</v>
      </c>
    </row>
    <row r="8" spans="1:10" x14ac:dyDescent="0.25">
      <c r="A8">
        <v>2</v>
      </c>
      <c r="B8" s="2">
        <v>44012</v>
      </c>
      <c r="C8" s="28">
        <f>'Example 1 Assumptions '!D36</f>
        <v>5910</v>
      </c>
      <c r="D8" s="28">
        <f t="shared" ref="D8:D26" si="0">+C8</f>
        <v>5910</v>
      </c>
      <c r="E8" s="28">
        <f t="shared" ref="E8:E27" si="1">ROUND(+G7*(+E$5/12),2)</f>
        <v>393.4</v>
      </c>
      <c r="F8" s="28">
        <f t="shared" ref="F8:F26" si="2">+D8-E8</f>
        <v>5516.6</v>
      </c>
      <c r="G8" s="28">
        <f t="shared" ref="G8:G26" si="3">+G7-F8</f>
        <v>88900.069999999992</v>
      </c>
      <c r="H8" s="28">
        <f>SUM(E7:E8)</f>
        <v>810.06999999999994</v>
      </c>
      <c r="I8" s="28">
        <f>SUM(F7:F8)</f>
        <v>11099.93</v>
      </c>
      <c r="J8" s="28">
        <f>SUM(H8:I8)</f>
        <v>11910</v>
      </c>
    </row>
    <row r="9" spans="1:10" x14ac:dyDescent="0.25">
      <c r="A9">
        <v>3</v>
      </c>
      <c r="B9" s="24">
        <v>44043</v>
      </c>
      <c r="C9" s="27">
        <f>'Example 1 Assumptions '!D37</f>
        <v>5820</v>
      </c>
      <c r="D9" s="1">
        <f t="shared" si="0"/>
        <v>5820</v>
      </c>
      <c r="E9" s="1">
        <f t="shared" si="1"/>
        <v>370.42</v>
      </c>
      <c r="F9" s="1">
        <f t="shared" si="2"/>
        <v>5449.58</v>
      </c>
      <c r="G9" s="1">
        <f t="shared" si="3"/>
        <v>83450.489999999991</v>
      </c>
    </row>
    <row r="10" spans="1:10" x14ac:dyDescent="0.25">
      <c r="A10">
        <v>4</v>
      </c>
      <c r="B10" s="24">
        <v>44074</v>
      </c>
      <c r="C10" s="27">
        <f>'Example 1 Assumptions '!D38</f>
        <v>5730</v>
      </c>
      <c r="D10" s="1">
        <f t="shared" si="0"/>
        <v>5730</v>
      </c>
      <c r="E10" s="1">
        <f t="shared" si="1"/>
        <v>347.71</v>
      </c>
      <c r="F10" s="1">
        <f t="shared" si="2"/>
        <v>5382.29</v>
      </c>
      <c r="G10" s="1">
        <f t="shared" si="3"/>
        <v>78068.2</v>
      </c>
    </row>
    <row r="11" spans="1:10" x14ac:dyDescent="0.25">
      <c r="A11">
        <v>5</v>
      </c>
      <c r="B11" s="24">
        <v>44104</v>
      </c>
      <c r="C11" s="27">
        <f>'Example 1 Assumptions '!D39</f>
        <v>5640</v>
      </c>
      <c r="D11" s="1">
        <f t="shared" si="0"/>
        <v>5640</v>
      </c>
      <c r="E11" s="1">
        <f t="shared" si="1"/>
        <v>325.27999999999997</v>
      </c>
      <c r="F11" s="1">
        <f t="shared" si="2"/>
        <v>5314.72</v>
      </c>
      <c r="G11" s="1">
        <f t="shared" si="3"/>
        <v>72753.48</v>
      </c>
    </row>
    <row r="12" spans="1:10" x14ac:dyDescent="0.25">
      <c r="A12">
        <v>6</v>
      </c>
      <c r="B12" s="24">
        <v>44135</v>
      </c>
      <c r="C12" s="27">
        <f>'Example 1 Assumptions '!D40</f>
        <v>5550</v>
      </c>
      <c r="D12" s="1">
        <f t="shared" si="0"/>
        <v>5550</v>
      </c>
      <c r="E12" s="1">
        <f t="shared" si="1"/>
        <v>303.14</v>
      </c>
      <c r="F12" s="1">
        <f t="shared" si="2"/>
        <v>5246.86</v>
      </c>
      <c r="G12" s="1">
        <f t="shared" si="3"/>
        <v>67506.62</v>
      </c>
    </row>
    <row r="13" spans="1:10" x14ac:dyDescent="0.25">
      <c r="A13">
        <v>7</v>
      </c>
      <c r="B13" s="24">
        <v>44165</v>
      </c>
      <c r="C13" s="27">
        <f>'Example 1 Assumptions '!D41</f>
        <v>5460</v>
      </c>
      <c r="D13" s="1">
        <f t="shared" si="0"/>
        <v>5460</v>
      </c>
      <c r="E13" s="1">
        <f t="shared" si="1"/>
        <v>281.27999999999997</v>
      </c>
      <c r="F13" s="1">
        <f t="shared" si="2"/>
        <v>5178.72</v>
      </c>
      <c r="G13" s="1">
        <f t="shared" si="3"/>
        <v>62327.899999999994</v>
      </c>
    </row>
    <row r="14" spans="1:10" x14ac:dyDescent="0.25">
      <c r="A14">
        <v>8</v>
      </c>
      <c r="B14" s="24">
        <v>44196</v>
      </c>
      <c r="C14" s="27">
        <f>'Example 1 Assumptions '!D42</f>
        <v>5370</v>
      </c>
      <c r="D14" s="1">
        <f t="shared" si="0"/>
        <v>5370</v>
      </c>
      <c r="E14" s="1">
        <f t="shared" si="1"/>
        <v>259.7</v>
      </c>
      <c r="F14" s="1">
        <f t="shared" si="2"/>
        <v>5110.3</v>
      </c>
      <c r="G14" s="1">
        <f t="shared" si="3"/>
        <v>57217.599999999991</v>
      </c>
    </row>
    <row r="15" spans="1:10" x14ac:dyDescent="0.25">
      <c r="A15">
        <v>9</v>
      </c>
      <c r="B15" s="24">
        <v>44227</v>
      </c>
      <c r="C15" s="27">
        <f>'Example 1 Assumptions '!D43</f>
        <v>5280</v>
      </c>
      <c r="D15" s="1">
        <f t="shared" si="0"/>
        <v>5280</v>
      </c>
      <c r="E15" s="1">
        <f t="shared" si="1"/>
        <v>238.41</v>
      </c>
      <c r="F15" s="1">
        <f t="shared" si="2"/>
        <v>5041.59</v>
      </c>
      <c r="G15" s="1">
        <f t="shared" si="3"/>
        <v>52176.009999999995</v>
      </c>
    </row>
    <row r="16" spans="1:10" x14ac:dyDescent="0.25">
      <c r="A16">
        <v>10</v>
      </c>
      <c r="B16" s="24">
        <v>44255</v>
      </c>
      <c r="C16" s="27">
        <f>'Example 1 Assumptions '!D44</f>
        <v>5190</v>
      </c>
      <c r="D16" s="1">
        <f t="shared" si="0"/>
        <v>5190</v>
      </c>
      <c r="E16" s="1">
        <f t="shared" si="1"/>
        <v>217.4</v>
      </c>
      <c r="F16" s="1">
        <f t="shared" si="2"/>
        <v>4972.6000000000004</v>
      </c>
      <c r="G16" s="1">
        <f t="shared" si="3"/>
        <v>47203.409999999996</v>
      </c>
    </row>
    <row r="17" spans="1:12" x14ac:dyDescent="0.25">
      <c r="A17">
        <v>11</v>
      </c>
      <c r="B17" s="24">
        <v>44286</v>
      </c>
      <c r="C17" s="27">
        <f>'Example 1 Assumptions '!D45</f>
        <v>5100</v>
      </c>
      <c r="D17" s="1">
        <f t="shared" si="0"/>
        <v>5100</v>
      </c>
      <c r="E17" s="1">
        <f t="shared" si="1"/>
        <v>196.68</v>
      </c>
      <c r="F17" s="1">
        <f t="shared" si="2"/>
        <v>4903.32</v>
      </c>
      <c r="G17" s="1">
        <f t="shared" si="3"/>
        <v>42300.09</v>
      </c>
    </row>
    <row r="18" spans="1:12" x14ac:dyDescent="0.25">
      <c r="A18">
        <v>12</v>
      </c>
      <c r="B18" s="24">
        <v>44316</v>
      </c>
      <c r="C18" s="27">
        <f>'Example 1 Assumptions '!D46</f>
        <v>5010</v>
      </c>
      <c r="D18" s="1">
        <f t="shared" si="0"/>
        <v>5010</v>
      </c>
      <c r="E18" s="1">
        <f t="shared" si="1"/>
        <v>176.25</v>
      </c>
      <c r="F18" s="1">
        <f t="shared" si="2"/>
        <v>4833.75</v>
      </c>
      <c r="G18" s="1">
        <f t="shared" si="3"/>
        <v>37466.339999999997</v>
      </c>
    </row>
    <row r="19" spans="1:12" x14ac:dyDescent="0.25">
      <c r="A19">
        <v>13</v>
      </c>
      <c r="B19" s="24">
        <v>44347</v>
      </c>
      <c r="C19" s="27">
        <f>'Example 1 Assumptions '!D47</f>
        <v>4920</v>
      </c>
      <c r="D19" s="1">
        <f t="shared" si="0"/>
        <v>4920</v>
      </c>
      <c r="E19" s="1">
        <f t="shared" si="1"/>
        <v>156.11000000000001</v>
      </c>
      <c r="F19" s="1">
        <f t="shared" si="2"/>
        <v>4763.8900000000003</v>
      </c>
      <c r="G19" s="1">
        <f t="shared" si="3"/>
        <v>32702.449999999997</v>
      </c>
    </row>
    <row r="20" spans="1:12" x14ac:dyDescent="0.25">
      <c r="A20">
        <v>14</v>
      </c>
      <c r="B20" s="2">
        <v>44377</v>
      </c>
      <c r="C20" s="28">
        <f>'Example 1 Assumptions '!D48</f>
        <v>4830</v>
      </c>
      <c r="D20" s="28">
        <f t="shared" si="0"/>
        <v>4830</v>
      </c>
      <c r="E20" s="28">
        <f t="shared" si="1"/>
        <v>136.26</v>
      </c>
      <c r="F20" s="28">
        <f t="shared" si="2"/>
        <v>4693.74</v>
      </c>
      <c r="G20" s="28">
        <f t="shared" si="3"/>
        <v>28008.71</v>
      </c>
      <c r="H20" s="28">
        <f>SUM(E9:E20)</f>
        <v>3008.6399999999994</v>
      </c>
      <c r="I20" s="28">
        <f>SUM(F9:F20)</f>
        <v>60891.359999999993</v>
      </c>
      <c r="J20" s="28">
        <f>SUM(H20:I20)</f>
        <v>63899.999999999993</v>
      </c>
    </row>
    <row r="21" spans="1:12" x14ac:dyDescent="0.25">
      <c r="A21">
        <v>15</v>
      </c>
      <c r="B21" s="24">
        <v>44408</v>
      </c>
      <c r="C21" s="27">
        <f>'Example 1 Assumptions '!D49</f>
        <v>4740</v>
      </c>
      <c r="D21" s="1">
        <f t="shared" si="0"/>
        <v>4740</v>
      </c>
      <c r="E21" s="1">
        <f t="shared" si="1"/>
        <v>116.7</v>
      </c>
      <c r="F21" s="1">
        <f t="shared" si="2"/>
        <v>4623.3</v>
      </c>
      <c r="G21" s="1">
        <f t="shared" si="3"/>
        <v>23385.41</v>
      </c>
    </row>
    <row r="22" spans="1:12" x14ac:dyDescent="0.25">
      <c r="A22">
        <v>16</v>
      </c>
      <c r="B22" s="24">
        <v>44439</v>
      </c>
      <c r="C22" s="27">
        <f>'Example 1 Assumptions '!D50</f>
        <v>4650</v>
      </c>
      <c r="D22" s="1">
        <f t="shared" si="0"/>
        <v>4650</v>
      </c>
      <c r="E22" s="1">
        <f t="shared" si="1"/>
        <v>97.44</v>
      </c>
      <c r="F22" s="1">
        <f t="shared" si="2"/>
        <v>4552.5600000000004</v>
      </c>
      <c r="G22" s="1">
        <f t="shared" si="3"/>
        <v>18832.849999999999</v>
      </c>
    </row>
    <row r="23" spans="1:12" x14ac:dyDescent="0.25">
      <c r="A23">
        <v>17</v>
      </c>
      <c r="B23" s="24">
        <v>44469</v>
      </c>
      <c r="C23" s="27">
        <f>'Example 1 Assumptions '!D51</f>
        <v>4560</v>
      </c>
      <c r="D23" s="1">
        <f t="shared" si="0"/>
        <v>4560</v>
      </c>
      <c r="E23" s="1">
        <f t="shared" si="1"/>
        <v>78.47</v>
      </c>
      <c r="F23" s="1">
        <f t="shared" si="2"/>
        <v>4481.53</v>
      </c>
      <c r="G23" s="1">
        <f t="shared" si="3"/>
        <v>14351.32</v>
      </c>
    </row>
    <row r="24" spans="1:12" x14ac:dyDescent="0.25">
      <c r="A24">
        <v>18</v>
      </c>
      <c r="B24" s="24">
        <v>44500</v>
      </c>
      <c r="C24" s="27">
        <f>'Example 1 Assumptions '!D52</f>
        <v>4470</v>
      </c>
      <c r="D24" s="1">
        <f t="shared" si="0"/>
        <v>4470</v>
      </c>
      <c r="E24" s="1">
        <f t="shared" si="1"/>
        <v>59.8</v>
      </c>
      <c r="F24" s="1">
        <f t="shared" si="2"/>
        <v>4410.2</v>
      </c>
      <c r="G24" s="1">
        <f t="shared" si="3"/>
        <v>9941.119999999999</v>
      </c>
    </row>
    <row r="25" spans="1:12" x14ac:dyDescent="0.25">
      <c r="A25">
        <v>19</v>
      </c>
      <c r="B25" s="24">
        <v>44530</v>
      </c>
      <c r="C25" s="27">
        <f>'Example 1 Assumptions '!D53</f>
        <v>4380</v>
      </c>
      <c r="D25" s="1">
        <f t="shared" si="0"/>
        <v>4380</v>
      </c>
      <c r="E25" s="1">
        <f t="shared" si="1"/>
        <v>41.42</v>
      </c>
      <c r="F25" s="1">
        <f t="shared" si="2"/>
        <v>4338.58</v>
      </c>
      <c r="G25" s="1">
        <f t="shared" si="3"/>
        <v>5602.5399999999991</v>
      </c>
    </row>
    <row r="26" spans="1:12" x14ac:dyDescent="0.25">
      <c r="A26">
        <v>20</v>
      </c>
      <c r="B26" s="24">
        <v>44561</v>
      </c>
      <c r="C26" s="27">
        <f>'Example 1 Assumptions '!D54</f>
        <v>4290</v>
      </c>
      <c r="D26" s="1">
        <f t="shared" si="0"/>
        <v>4290</v>
      </c>
      <c r="E26" s="1">
        <f t="shared" si="1"/>
        <v>23.34</v>
      </c>
      <c r="F26" s="1">
        <f t="shared" si="2"/>
        <v>4266.66</v>
      </c>
      <c r="G26" s="1">
        <f t="shared" si="3"/>
        <v>1335.8799999999992</v>
      </c>
    </row>
    <row r="27" spans="1:12" x14ac:dyDescent="0.25">
      <c r="A27">
        <v>21</v>
      </c>
      <c r="B27" s="24">
        <v>44592</v>
      </c>
      <c r="C27" s="27">
        <f>'Example 1 Assumptions '!D55</f>
        <v>4200</v>
      </c>
      <c r="D27" s="1">
        <f>+C27-2858.55</f>
        <v>1341.4499999999998</v>
      </c>
      <c r="E27" s="1">
        <f t="shared" si="1"/>
        <v>5.57</v>
      </c>
      <c r="F27" s="1">
        <f>+D27-E27</f>
        <v>1335.8799999999999</v>
      </c>
      <c r="G27" s="1">
        <f>+G26-F27</f>
        <v>0</v>
      </c>
    </row>
    <row r="28" spans="1:12" x14ac:dyDescent="0.25">
      <c r="A28">
        <v>22</v>
      </c>
      <c r="B28" s="24">
        <v>44620</v>
      </c>
      <c r="C28" s="27">
        <f>'Example 1 Assumptions '!D56</f>
        <v>4110</v>
      </c>
    </row>
    <row r="29" spans="1:12" x14ac:dyDescent="0.25">
      <c r="A29">
        <v>23</v>
      </c>
      <c r="B29" s="24">
        <v>44651</v>
      </c>
      <c r="C29" s="27">
        <f>'Example 1 Assumptions '!D57</f>
        <v>4020</v>
      </c>
    </row>
    <row r="30" spans="1:12" x14ac:dyDescent="0.25">
      <c r="A30">
        <v>24</v>
      </c>
      <c r="B30" s="24">
        <v>44681</v>
      </c>
      <c r="C30" s="27">
        <f>'Example 1 Assumptions '!D58</f>
        <v>3930</v>
      </c>
    </row>
    <row r="31" spans="1:12" x14ac:dyDescent="0.25">
      <c r="A31">
        <v>25</v>
      </c>
      <c r="B31" s="24">
        <v>44712</v>
      </c>
      <c r="C31" s="27">
        <f>'Example 1 Assumptions '!D59</f>
        <v>3840</v>
      </c>
    </row>
    <row r="32" spans="1:12" x14ac:dyDescent="0.25">
      <c r="A32">
        <v>26</v>
      </c>
      <c r="B32" s="2">
        <v>44742</v>
      </c>
      <c r="C32" s="28">
        <f>'Example 1 Assumptions '!D60</f>
        <v>3750</v>
      </c>
      <c r="D32" s="28"/>
      <c r="E32" s="28"/>
      <c r="F32" s="28"/>
      <c r="G32" s="28"/>
      <c r="H32" s="28">
        <f>SUM(E21:E27)</f>
        <v>422.74</v>
      </c>
      <c r="I32" s="28">
        <f>SUM(F21:F27)</f>
        <v>28008.71</v>
      </c>
      <c r="J32" s="28">
        <f>SUM(H32:I32)</f>
        <v>28431.45</v>
      </c>
      <c r="L32" s="42">
        <f>SUM(C21:C32)</f>
        <v>50940</v>
      </c>
    </row>
    <row r="33" spans="1:10" x14ac:dyDescent="0.25">
      <c r="A33">
        <v>27</v>
      </c>
      <c r="B33" s="24">
        <v>44773</v>
      </c>
      <c r="C33" s="1">
        <f>'Example 1 Assumptions '!D61</f>
        <v>3660</v>
      </c>
      <c r="D33" s="1">
        <f>SUM(D7:D32)</f>
        <v>104241.45</v>
      </c>
      <c r="E33" s="1">
        <f>SUM(E7:E32)</f>
        <v>4241.4499999999989</v>
      </c>
      <c r="F33" s="1">
        <f>SUM(F7:F32)</f>
        <v>100000.00000000001</v>
      </c>
      <c r="H33" s="1">
        <f>SUM(H7:H32)</f>
        <v>4241.4499999999989</v>
      </c>
      <c r="I33" s="1">
        <f>SUM(I7:I32)</f>
        <v>100000</v>
      </c>
      <c r="J33" s="1">
        <f>SUM(J7:J32)</f>
        <v>104241.45</v>
      </c>
    </row>
    <row r="34" spans="1:10" x14ac:dyDescent="0.25">
      <c r="A34">
        <v>28</v>
      </c>
      <c r="B34" s="24">
        <v>44804</v>
      </c>
      <c r="C34" s="1">
        <f>'Example 1 Assumptions '!D62</f>
        <v>3500</v>
      </c>
    </row>
    <row r="35" spans="1:10" x14ac:dyDescent="0.25">
      <c r="A35">
        <v>29</v>
      </c>
      <c r="B35" s="24">
        <v>44834</v>
      </c>
      <c r="C35" s="1">
        <f>'Example 1 Assumptions '!D63</f>
        <v>3480</v>
      </c>
    </row>
    <row r="36" spans="1:10" x14ac:dyDescent="0.25">
      <c r="A36">
        <v>30</v>
      </c>
      <c r="B36" s="24">
        <v>44865</v>
      </c>
      <c r="C36" s="1">
        <f>'Example 1 Assumptions '!D64</f>
        <v>3390</v>
      </c>
    </row>
    <row r="37" spans="1:10" x14ac:dyDescent="0.25">
      <c r="A37">
        <v>31</v>
      </c>
      <c r="B37" s="24">
        <v>44895</v>
      </c>
      <c r="C37" s="1">
        <f>'Example 1 Assumptions '!D65</f>
        <v>3300</v>
      </c>
    </row>
    <row r="38" spans="1:10" x14ac:dyDescent="0.25">
      <c r="A38">
        <v>32</v>
      </c>
      <c r="B38" s="24">
        <v>44926</v>
      </c>
      <c r="C38" s="1">
        <f>'Example 1 Assumptions '!D66</f>
        <v>3210</v>
      </c>
    </row>
    <row r="39" spans="1:10" x14ac:dyDescent="0.25">
      <c r="A39">
        <v>33</v>
      </c>
      <c r="B39" s="24">
        <v>44957</v>
      </c>
      <c r="C39" s="1">
        <f>'Example 1 Assumptions '!D67</f>
        <v>3120</v>
      </c>
    </row>
    <row r="40" spans="1:10" x14ac:dyDescent="0.25">
      <c r="A40">
        <v>34</v>
      </c>
      <c r="B40" s="24">
        <v>44985</v>
      </c>
      <c r="C40" s="1">
        <f>'Example 1 Assumptions '!D68</f>
        <v>3030</v>
      </c>
    </row>
    <row r="41" spans="1:10" x14ac:dyDescent="0.25">
      <c r="A41">
        <v>35</v>
      </c>
      <c r="B41" s="24">
        <v>45016</v>
      </c>
      <c r="C41" s="1">
        <f>'Example 1 Assumptions '!D69</f>
        <v>2940</v>
      </c>
    </row>
    <row r="42" spans="1:10" x14ac:dyDescent="0.25">
      <c r="A42">
        <v>36</v>
      </c>
      <c r="B42" s="24">
        <v>45046</v>
      </c>
      <c r="C42" s="1">
        <f>'Example 1 Assumptions '!D70</f>
        <v>2850</v>
      </c>
    </row>
    <row r="43" spans="1:10" x14ac:dyDescent="0.25">
      <c r="A43">
        <v>37</v>
      </c>
      <c r="B43" s="24">
        <v>45077</v>
      </c>
      <c r="C43" s="1">
        <f>'Example 1 Assumptions '!D71</f>
        <v>2760</v>
      </c>
    </row>
    <row r="44" spans="1:10" x14ac:dyDescent="0.25">
      <c r="A44">
        <v>38</v>
      </c>
      <c r="B44" s="24">
        <v>45107</v>
      </c>
      <c r="C44" s="1">
        <f>'Example 1 Assumptions '!D72</f>
        <v>2670</v>
      </c>
    </row>
    <row r="45" spans="1:10" x14ac:dyDescent="0.25">
      <c r="A45">
        <v>39</v>
      </c>
      <c r="B45" s="24">
        <v>45138</v>
      </c>
      <c r="C45" s="1">
        <f>'Example 1 Assumptions '!D73</f>
        <v>2580</v>
      </c>
    </row>
    <row r="46" spans="1:10" x14ac:dyDescent="0.25">
      <c r="A46">
        <v>40</v>
      </c>
      <c r="B46" s="24">
        <v>45169</v>
      </c>
      <c r="C46" s="1">
        <f>'Example 1 Assumptions '!D74</f>
        <v>2490</v>
      </c>
    </row>
    <row r="47" spans="1:10" x14ac:dyDescent="0.25">
      <c r="A47">
        <v>41</v>
      </c>
      <c r="B47" s="24">
        <v>45199</v>
      </c>
      <c r="C47" s="1">
        <f>'Example 1 Assumptions '!D75</f>
        <v>2400</v>
      </c>
    </row>
    <row r="48" spans="1:10" x14ac:dyDescent="0.25">
      <c r="A48">
        <v>42</v>
      </c>
      <c r="B48" s="24">
        <v>45230</v>
      </c>
      <c r="C48" s="1">
        <f>'Example 1 Assumptions '!D76</f>
        <v>2310</v>
      </c>
    </row>
    <row r="49" spans="1:3" x14ac:dyDescent="0.25">
      <c r="A49">
        <v>43</v>
      </c>
      <c r="B49" s="24">
        <v>45260</v>
      </c>
      <c r="C49" s="1">
        <f>'Example 1 Assumptions '!D77</f>
        <v>2220</v>
      </c>
    </row>
    <row r="50" spans="1:3" x14ac:dyDescent="0.25">
      <c r="A50">
        <v>44</v>
      </c>
      <c r="B50" s="24">
        <v>45291</v>
      </c>
      <c r="C50" s="1">
        <f>'Example 1 Assumptions '!D78</f>
        <v>0</v>
      </c>
    </row>
    <row r="51" spans="1:3" x14ac:dyDescent="0.25">
      <c r="A51">
        <v>45</v>
      </c>
      <c r="B51" s="24">
        <v>45322</v>
      </c>
      <c r="C51" s="1">
        <f>'Example 1 Assumptions '!D79</f>
        <v>2130</v>
      </c>
    </row>
    <row r="52" spans="1:3" x14ac:dyDescent="0.25">
      <c r="A52">
        <v>46</v>
      </c>
      <c r="B52" s="24">
        <v>45351</v>
      </c>
      <c r="C52" s="1">
        <f>'Example 1 Assumptions '!D80</f>
        <v>2040</v>
      </c>
    </row>
    <row r="53" spans="1:3" x14ac:dyDescent="0.25">
      <c r="A53">
        <v>47</v>
      </c>
      <c r="B53" s="24">
        <v>45382</v>
      </c>
      <c r="C53" s="1">
        <f>'Example 1 Assumptions '!D81</f>
        <v>1950</v>
      </c>
    </row>
    <row r="54" spans="1:3" x14ac:dyDescent="0.25">
      <c r="A54">
        <v>48</v>
      </c>
      <c r="B54" s="24">
        <v>45412</v>
      </c>
      <c r="C54" s="1">
        <f>'Example 1 Assumptions '!D82</f>
        <v>1860</v>
      </c>
    </row>
    <row r="55" spans="1:3" x14ac:dyDescent="0.25">
      <c r="A55">
        <v>49</v>
      </c>
      <c r="B55" s="24">
        <v>45443</v>
      </c>
      <c r="C55" s="1">
        <f>'Example 1 Assumptions '!D83</f>
        <v>0</v>
      </c>
    </row>
    <row r="56" spans="1:3" x14ac:dyDescent="0.25">
      <c r="A56">
        <v>50</v>
      </c>
      <c r="B56" s="24">
        <v>45473</v>
      </c>
      <c r="C56" s="1">
        <f>'Example 1 Assumptions '!D84</f>
        <v>1770</v>
      </c>
    </row>
    <row r="57" spans="1:3" x14ac:dyDescent="0.25">
      <c r="A57">
        <v>51</v>
      </c>
      <c r="B57" s="24">
        <v>45504</v>
      </c>
      <c r="C57" s="1">
        <f>'Example 1 Assumptions '!D85</f>
        <v>1680</v>
      </c>
    </row>
    <row r="58" spans="1:3" x14ac:dyDescent="0.25">
      <c r="A58">
        <v>52</v>
      </c>
      <c r="B58" s="24">
        <v>45535</v>
      </c>
      <c r="C58" s="1">
        <f>'Example 1 Assumptions '!D86</f>
        <v>1590</v>
      </c>
    </row>
    <row r="59" spans="1:3" x14ac:dyDescent="0.25">
      <c r="A59">
        <v>53</v>
      </c>
      <c r="B59" s="24">
        <v>45565</v>
      </c>
      <c r="C59" s="1">
        <f>'Example 1 Assumptions '!D87</f>
        <v>0</v>
      </c>
    </row>
    <row r="60" spans="1:3" x14ac:dyDescent="0.25">
      <c r="A60">
        <v>54</v>
      </c>
      <c r="B60" s="24">
        <v>45596</v>
      </c>
      <c r="C60" s="1">
        <f>'Example 1 Assumptions '!D88</f>
        <v>1500</v>
      </c>
    </row>
    <row r="61" spans="1:3" x14ac:dyDescent="0.25">
      <c r="A61">
        <v>55</v>
      </c>
      <c r="B61" s="24">
        <v>45626</v>
      </c>
      <c r="C61" s="1">
        <f>'Example 1 Assumptions '!D89</f>
        <v>1410</v>
      </c>
    </row>
    <row r="62" spans="1:3" x14ac:dyDescent="0.25">
      <c r="A62">
        <v>56</v>
      </c>
      <c r="B62" s="24">
        <v>45657</v>
      </c>
      <c r="C62" s="1">
        <f>'Example 1 Assumptions '!D90</f>
        <v>1320</v>
      </c>
    </row>
    <row r="63" spans="1:3" x14ac:dyDescent="0.25">
      <c r="A63">
        <v>57</v>
      </c>
      <c r="B63" s="24">
        <v>45688</v>
      </c>
      <c r="C63" s="1">
        <f>'Example 1 Assumptions '!D91</f>
        <v>0</v>
      </c>
    </row>
    <row r="64" spans="1:3" x14ac:dyDescent="0.25">
      <c r="A64">
        <v>58</v>
      </c>
      <c r="B64" s="24">
        <v>45716</v>
      </c>
      <c r="C64" s="1">
        <f>'Example 1 Assumptions '!D92</f>
        <v>1320</v>
      </c>
    </row>
    <row r="65" spans="1:3" x14ac:dyDescent="0.25">
      <c r="A65">
        <v>59</v>
      </c>
      <c r="B65" s="24">
        <v>45747</v>
      </c>
      <c r="C65" s="1">
        <f>'Example 1 Assumptions '!D93</f>
        <v>0</v>
      </c>
    </row>
    <row r="66" spans="1:3" x14ac:dyDescent="0.25">
      <c r="A66">
        <v>60</v>
      </c>
      <c r="B66" s="24">
        <v>45777</v>
      </c>
      <c r="C66" s="1">
        <f>'Example 1 Assumptions '!D94</f>
        <v>0</v>
      </c>
    </row>
  </sheetData>
  <mergeCells count="7">
    <mergeCell ref="J4:J5"/>
    <mergeCell ref="C4:C5"/>
    <mergeCell ref="F4:F5"/>
    <mergeCell ref="G4:G5"/>
    <mergeCell ref="D4:D5"/>
    <mergeCell ref="H4:H5"/>
    <mergeCell ref="I4:I5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"/>
  <sheetViews>
    <sheetView zoomScaleNormal="100" workbookViewId="0">
      <selection activeCell="A2" sqref="A2"/>
    </sheetView>
    <sheetView workbookViewId="1">
      <selection sqref="A1:O1"/>
    </sheetView>
  </sheetViews>
  <sheetFormatPr defaultRowHeight="15" x14ac:dyDescent="0.25"/>
  <cols>
    <col min="1" max="1" width="4.7109375" bestFit="1" customWidth="1"/>
    <col min="2" max="2" width="5.5703125" customWidth="1"/>
    <col min="3" max="3" width="45.42578125" customWidth="1"/>
    <col min="4" max="5" width="10.85546875" style="1" bestFit="1" customWidth="1"/>
    <col min="6" max="6" width="3.7109375" customWidth="1"/>
    <col min="7" max="7" width="5.5703125" customWidth="1"/>
    <col min="8" max="8" width="45" customWidth="1"/>
    <col min="9" max="10" width="10.85546875" style="1" bestFit="1" customWidth="1"/>
    <col min="11" max="11" width="4.7109375" customWidth="1"/>
    <col min="12" max="12" width="5.5703125" customWidth="1"/>
    <col min="13" max="13" width="38.85546875" customWidth="1"/>
    <col min="14" max="15" width="10.85546875" style="1" bestFit="1" customWidth="1"/>
  </cols>
  <sheetData>
    <row r="1" spans="1:15" ht="14.65" customHeight="1" x14ac:dyDescent="0.25">
      <c r="A1" s="246" t="s">
        <v>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 ht="18.75" x14ac:dyDescent="0.25">
      <c r="B2" s="174" t="s">
        <v>348</v>
      </c>
    </row>
    <row r="3" spans="1:15" x14ac:dyDescent="0.25">
      <c r="D3" s="16"/>
      <c r="E3" s="16"/>
      <c r="I3" s="16"/>
      <c r="J3" s="16"/>
      <c r="N3" s="16"/>
      <c r="O3" s="16"/>
    </row>
    <row r="4" spans="1:15" ht="28.5" customHeight="1" x14ac:dyDescent="0.25">
      <c r="B4" s="248" t="s">
        <v>10</v>
      </c>
      <c r="C4" s="248"/>
      <c r="D4" s="17" t="s">
        <v>8</v>
      </c>
      <c r="E4" s="17" t="s">
        <v>9</v>
      </c>
      <c r="G4" s="248" t="s">
        <v>13</v>
      </c>
      <c r="H4" s="248"/>
      <c r="I4" s="17" t="s">
        <v>8</v>
      </c>
      <c r="J4" s="17" t="s">
        <v>9</v>
      </c>
      <c r="L4" s="248" t="s">
        <v>20</v>
      </c>
      <c r="M4" s="248"/>
      <c r="N4" s="17" t="s">
        <v>8</v>
      </c>
      <c r="O4" s="17" t="s">
        <v>9</v>
      </c>
    </row>
    <row r="5" spans="1:15" x14ac:dyDescent="0.25">
      <c r="B5" s="249"/>
      <c r="C5" s="249"/>
      <c r="D5" s="35" t="s">
        <v>8</v>
      </c>
      <c r="E5" s="35" t="s">
        <v>9</v>
      </c>
      <c r="G5" s="249"/>
      <c r="H5" s="249"/>
      <c r="I5" s="35" t="s">
        <v>8</v>
      </c>
      <c r="J5" s="35" t="s">
        <v>9</v>
      </c>
      <c r="L5" s="249"/>
      <c r="M5" s="249"/>
      <c r="N5" s="35" t="s">
        <v>8</v>
      </c>
      <c r="O5" s="35" t="s">
        <v>9</v>
      </c>
    </row>
    <row r="6" spans="1:15" ht="14.65" customHeight="1" x14ac:dyDescent="0.25">
      <c r="A6" s="46">
        <v>2020</v>
      </c>
      <c r="B6" s="250"/>
      <c r="C6" s="250"/>
      <c r="D6" s="18"/>
      <c r="E6" s="18"/>
      <c r="G6" s="250"/>
      <c r="H6" s="250"/>
      <c r="I6" s="18"/>
      <c r="J6" s="18"/>
      <c r="L6" s="250"/>
      <c r="M6" s="250"/>
      <c r="N6" s="18"/>
      <c r="O6" s="18"/>
    </row>
    <row r="7" spans="1:15" x14ac:dyDescent="0.25">
      <c r="B7" s="8" t="s">
        <v>11</v>
      </c>
      <c r="C7" s="8"/>
      <c r="D7" s="14">
        <f>ROUND(+'Example 1 Assumptions '!G22,0)</f>
        <v>100000</v>
      </c>
      <c r="E7" s="14"/>
      <c r="G7" s="242" t="s">
        <v>12</v>
      </c>
      <c r="H7" s="242"/>
      <c r="I7" s="14">
        <f>+E8</f>
        <v>100000</v>
      </c>
      <c r="J7" s="14"/>
      <c r="L7" s="8" t="s">
        <v>11</v>
      </c>
      <c r="M7" s="8"/>
      <c r="N7" s="14">
        <f>+D7</f>
        <v>100000</v>
      </c>
      <c r="O7" s="14"/>
    </row>
    <row r="8" spans="1:15" ht="14.65" customHeight="1" x14ac:dyDescent="0.25">
      <c r="B8" s="9"/>
      <c r="C8" s="8" t="s">
        <v>12</v>
      </c>
      <c r="D8" s="14"/>
      <c r="E8" s="14">
        <f>ROUND(+'Example 1 Assumptions '!G22,0)</f>
        <v>100000</v>
      </c>
      <c r="G8" s="9"/>
      <c r="H8" s="8" t="s">
        <v>14</v>
      </c>
      <c r="I8" s="14"/>
      <c r="J8" s="14">
        <f>+I7</f>
        <v>100000</v>
      </c>
      <c r="L8" s="9"/>
      <c r="M8" s="8" t="s">
        <v>14</v>
      </c>
      <c r="N8" s="14"/>
      <c r="O8" s="14">
        <f>+J8</f>
        <v>100000</v>
      </c>
    </row>
    <row r="9" spans="1:15" ht="14.65" customHeight="1" x14ac:dyDescent="0.25">
      <c r="B9" s="243" t="s">
        <v>135</v>
      </c>
      <c r="C9" s="243"/>
      <c r="D9" s="19"/>
      <c r="E9" s="14"/>
      <c r="G9" s="243"/>
      <c r="H9" s="243"/>
      <c r="I9" s="14"/>
      <c r="J9" s="14"/>
      <c r="L9" s="243" t="s">
        <v>135</v>
      </c>
      <c r="M9" s="243"/>
      <c r="N9" s="14"/>
      <c r="O9" s="14"/>
    </row>
    <row r="10" spans="1:15" x14ac:dyDescent="0.25">
      <c r="B10" s="243" t="s">
        <v>136</v>
      </c>
      <c r="C10" s="243"/>
      <c r="D10" s="14"/>
      <c r="E10" s="14"/>
      <c r="G10" s="9"/>
      <c r="H10" s="8"/>
      <c r="I10" s="14"/>
      <c r="J10" s="14"/>
      <c r="L10" s="243" t="s">
        <v>136</v>
      </c>
      <c r="M10" s="243"/>
      <c r="N10" s="14"/>
      <c r="O10" s="14"/>
    </row>
    <row r="11" spans="1:15" x14ac:dyDescent="0.25">
      <c r="B11" s="9"/>
      <c r="C11" s="8"/>
      <c r="D11" s="14"/>
      <c r="E11" s="14"/>
      <c r="G11" s="9"/>
      <c r="H11" s="8"/>
      <c r="I11" s="14"/>
      <c r="J11" s="14"/>
      <c r="L11" s="44"/>
      <c r="M11" s="44"/>
      <c r="N11" s="14"/>
      <c r="O11" s="14"/>
    </row>
    <row r="12" spans="1:15" x14ac:dyDescent="0.25">
      <c r="B12" s="9"/>
      <c r="C12" s="8"/>
      <c r="D12" s="14"/>
      <c r="E12" s="14"/>
      <c r="G12" s="9"/>
      <c r="H12" s="8"/>
      <c r="I12" s="14"/>
      <c r="J12" s="14"/>
      <c r="L12" s="9"/>
      <c r="M12" s="8"/>
      <c r="N12" s="14"/>
      <c r="O12" s="14"/>
    </row>
    <row r="13" spans="1:15" x14ac:dyDescent="0.25">
      <c r="B13" s="242" t="s">
        <v>11</v>
      </c>
      <c r="C13" s="242"/>
      <c r="D13" s="14">
        <f>+'Example 1 Assumptions '!$D$19</f>
        <v>11910</v>
      </c>
      <c r="E13" s="14"/>
      <c r="G13" s="242" t="s">
        <v>125</v>
      </c>
      <c r="H13" s="242"/>
      <c r="I13" s="14">
        <f>+E15</f>
        <v>11910</v>
      </c>
      <c r="J13" s="14"/>
      <c r="L13" s="242" t="s">
        <v>11</v>
      </c>
      <c r="M13" s="242"/>
      <c r="N13" s="14">
        <f>+D13</f>
        <v>11910</v>
      </c>
      <c r="O13" s="14"/>
    </row>
    <row r="14" spans="1:15" ht="14.65" customHeight="1" x14ac:dyDescent="0.25">
      <c r="B14" s="242" t="s">
        <v>128</v>
      </c>
      <c r="C14" s="242"/>
      <c r="D14" s="14">
        <f>+D13</f>
        <v>11910</v>
      </c>
      <c r="E14" s="14"/>
      <c r="G14" s="93"/>
      <c r="H14" s="45" t="s">
        <v>129</v>
      </c>
      <c r="I14" s="14"/>
      <c r="L14" s="9"/>
      <c r="M14" s="8" t="s">
        <v>24</v>
      </c>
      <c r="N14" s="14"/>
      <c r="O14" s="14">
        <f>+E16</f>
        <v>11910</v>
      </c>
    </row>
    <row r="15" spans="1:15" ht="14.25" customHeight="1" x14ac:dyDescent="0.25">
      <c r="B15" s="45"/>
      <c r="C15" s="45" t="s">
        <v>125</v>
      </c>
      <c r="D15" s="14"/>
      <c r="E15" s="14">
        <f>+D14</f>
        <v>11910</v>
      </c>
      <c r="G15" s="93"/>
      <c r="H15" s="45" t="s">
        <v>130</v>
      </c>
      <c r="I15" s="14"/>
      <c r="J15" s="14">
        <f>+D14</f>
        <v>11910</v>
      </c>
      <c r="L15" s="244" t="s">
        <v>134</v>
      </c>
      <c r="M15" s="244"/>
      <c r="N15" s="14"/>
      <c r="O15" s="14"/>
    </row>
    <row r="16" spans="1:15" x14ac:dyDescent="0.25">
      <c r="B16" s="9"/>
      <c r="C16" s="8" t="s">
        <v>24</v>
      </c>
      <c r="D16" s="14"/>
      <c r="E16" s="14">
        <f>+D13</f>
        <v>11910</v>
      </c>
      <c r="G16" s="9"/>
      <c r="H16" s="8"/>
      <c r="I16" s="14"/>
      <c r="J16" s="14"/>
    </row>
    <row r="17" spans="2:15" x14ac:dyDescent="0.25">
      <c r="B17" s="244" t="s">
        <v>132</v>
      </c>
      <c r="C17" s="244"/>
      <c r="D17" s="14"/>
      <c r="E17" s="14"/>
      <c r="G17" s="9"/>
      <c r="H17" s="8"/>
      <c r="I17" s="14"/>
      <c r="J17" s="14"/>
    </row>
    <row r="18" spans="2:15" x14ac:dyDescent="0.25">
      <c r="B18" s="244" t="s">
        <v>144</v>
      </c>
      <c r="C18" s="244"/>
      <c r="D18" s="14"/>
      <c r="E18" s="14"/>
      <c r="G18" s="9"/>
      <c r="H18" s="8"/>
      <c r="I18" s="14"/>
      <c r="J18" s="14"/>
      <c r="L18" s="9"/>
      <c r="M18" s="8"/>
      <c r="N18" s="14"/>
      <c r="O18" s="14"/>
    </row>
    <row r="19" spans="2:15" x14ac:dyDescent="0.25">
      <c r="B19" s="244" t="s">
        <v>143</v>
      </c>
      <c r="C19" s="244"/>
      <c r="D19" s="14"/>
      <c r="E19" s="14"/>
      <c r="G19" s="9"/>
      <c r="H19" s="8"/>
      <c r="I19" s="14"/>
      <c r="J19" s="14"/>
      <c r="L19" s="9"/>
      <c r="M19" s="8"/>
      <c r="N19" s="14"/>
      <c r="O19" s="14"/>
    </row>
    <row r="20" spans="2:15" x14ac:dyDescent="0.25">
      <c r="B20" s="60"/>
      <c r="C20" s="60"/>
      <c r="D20" s="14"/>
      <c r="E20" s="14"/>
      <c r="G20" s="9"/>
      <c r="H20" s="8"/>
      <c r="I20" s="14"/>
      <c r="J20" s="14"/>
      <c r="L20" s="9"/>
      <c r="M20" s="8"/>
      <c r="N20" s="14"/>
      <c r="O20" s="14"/>
    </row>
    <row r="21" spans="2:15" x14ac:dyDescent="0.25">
      <c r="B21" s="9"/>
      <c r="C21" s="8"/>
      <c r="D21" s="14"/>
      <c r="E21" s="14"/>
      <c r="G21" s="9"/>
      <c r="H21" s="8"/>
      <c r="I21" s="14"/>
      <c r="J21" s="14"/>
      <c r="L21" s="9"/>
      <c r="M21" s="8"/>
      <c r="N21" s="14"/>
      <c r="O21" s="14"/>
    </row>
    <row r="22" spans="2:15" ht="14.65" customHeight="1" x14ac:dyDescent="0.25">
      <c r="B22" s="245" t="s">
        <v>126</v>
      </c>
      <c r="C22" s="245"/>
      <c r="D22" s="14">
        <f>ROUND(+'Example 1 Assumptions '!G19,0)</f>
        <v>11100</v>
      </c>
      <c r="E22" s="14"/>
      <c r="G22" s="12" t="s">
        <v>14</v>
      </c>
      <c r="H22" s="12"/>
      <c r="I22" s="14">
        <f>+J24</f>
        <v>11100</v>
      </c>
      <c r="J22" s="14"/>
      <c r="L22" s="245" t="s">
        <v>14</v>
      </c>
      <c r="M22" s="245"/>
      <c r="N22" s="14">
        <f>+I22</f>
        <v>11100</v>
      </c>
      <c r="O22" s="14"/>
    </row>
    <row r="23" spans="2:15" ht="14.65" customHeight="1" x14ac:dyDescent="0.25">
      <c r="B23" s="245" t="s">
        <v>127</v>
      </c>
      <c r="C23" s="245"/>
      <c r="D23" s="14">
        <f>ROUND(+'Example 1 Assumptions '!F19,0)</f>
        <v>810</v>
      </c>
      <c r="E23" s="14"/>
      <c r="G23" s="12" t="s">
        <v>16</v>
      </c>
      <c r="H23" s="12"/>
      <c r="I23" s="14">
        <f>+J25</f>
        <v>810</v>
      </c>
      <c r="J23" s="14"/>
      <c r="L23" s="245" t="s">
        <v>16</v>
      </c>
      <c r="M23" s="245"/>
      <c r="N23" s="14">
        <f>+I23</f>
        <v>810</v>
      </c>
      <c r="O23" s="14"/>
    </row>
    <row r="24" spans="2:15" ht="14.65" customHeight="1" x14ac:dyDescent="0.25">
      <c r="B24" s="8"/>
      <c r="C24" s="8" t="s">
        <v>11</v>
      </c>
      <c r="D24" s="14"/>
      <c r="E24" s="14">
        <f>ROUND(+'Example 1 Assumptions '!D19,0)</f>
        <v>11910</v>
      </c>
      <c r="G24" s="12"/>
      <c r="H24" s="245" t="s">
        <v>126</v>
      </c>
      <c r="I24" s="245"/>
      <c r="J24" s="14">
        <f>+D22</f>
        <v>11100</v>
      </c>
      <c r="M24" s="11" t="s">
        <v>11</v>
      </c>
      <c r="N24" s="22"/>
      <c r="O24" s="14">
        <f>+E24</f>
        <v>11910</v>
      </c>
    </row>
    <row r="25" spans="2:15" ht="14.65" customHeight="1" x14ac:dyDescent="0.25">
      <c r="B25" s="13" t="s">
        <v>138</v>
      </c>
      <c r="C25" s="13"/>
      <c r="D25" s="20"/>
      <c r="E25" s="14"/>
      <c r="G25" s="12"/>
      <c r="H25" s="245" t="s">
        <v>127</v>
      </c>
      <c r="I25" s="245"/>
      <c r="J25" s="14">
        <f>+D23</f>
        <v>810</v>
      </c>
      <c r="L25" s="10" t="s">
        <v>139</v>
      </c>
      <c r="M25" s="8"/>
      <c r="N25" s="14"/>
      <c r="O25" s="14"/>
    </row>
    <row r="26" spans="2:15" ht="14.65" customHeight="1" x14ac:dyDescent="0.25">
      <c r="B26" s="13"/>
      <c r="C26" s="13"/>
      <c r="D26" s="20"/>
      <c r="E26" s="14"/>
      <c r="G26" s="12"/>
      <c r="H26" s="8"/>
      <c r="I26" s="8"/>
      <c r="J26" s="14"/>
      <c r="L26" s="10"/>
      <c r="M26" s="8"/>
      <c r="N26" s="14"/>
      <c r="O26" s="14"/>
    </row>
    <row r="27" spans="2:15" ht="14.65" customHeight="1" x14ac:dyDescent="0.25">
      <c r="B27" s="9"/>
      <c r="C27" s="8"/>
      <c r="D27" s="14"/>
      <c r="E27" s="14"/>
      <c r="G27" s="45"/>
      <c r="H27" s="45"/>
      <c r="I27" s="45"/>
      <c r="J27" s="45"/>
      <c r="L27" s="9"/>
      <c r="M27" s="8"/>
      <c r="N27" s="14"/>
      <c r="O27" s="14"/>
    </row>
    <row r="28" spans="2:15" ht="14.65" customHeight="1" x14ac:dyDescent="0.25">
      <c r="B28" s="242" t="s">
        <v>128</v>
      </c>
      <c r="C28" s="242"/>
      <c r="D28" s="14">
        <f>+'Example 1 Assumptions '!F48</f>
        <v>9390</v>
      </c>
      <c r="E28" s="14"/>
      <c r="G28" s="242" t="s">
        <v>125</v>
      </c>
      <c r="H28" s="242"/>
      <c r="I28" s="14">
        <f>+D28</f>
        <v>9390</v>
      </c>
      <c r="J28" s="14"/>
      <c r="L28" s="12" t="s">
        <v>131</v>
      </c>
      <c r="M28" s="12"/>
      <c r="N28" s="21"/>
      <c r="O28" s="14"/>
    </row>
    <row r="29" spans="2:15" ht="14.65" customHeight="1" x14ac:dyDescent="0.25">
      <c r="B29" s="45"/>
      <c r="C29" s="45" t="s">
        <v>125</v>
      </c>
      <c r="D29" s="14"/>
      <c r="E29" s="14">
        <f>+D28</f>
        <v>9390</v>
      </c>
      <c r="G29" s="93"/>
      <c r="H29" s="45" t="s">
        <v>129</v>
      </c>
      <c r="I29" s="14"/>
      <c r="L29" s="12"/>
      <c r="M29" s="8"/>
      <c r="N29" s="14"/>
      <c r="O29" s="14"/>
    </row>
    <row r="30" spans="2:15" ht="14.65" customHeight="1" x14ac:dyDescent="0.25">
      <c r="B30" s="13" t="s">
        <v>145</v>
      </c>
      <c r="C30" s="13"/>
      <c r="D30" s="14"/>
      <c r="E30" s="14"/>
      <c r="G30" s="93"/>
      <c r="H30" s="45" t="s">
        <v>130</v>
      </c>
      <c r="I30" s="14"/>
      <c r="J30" s="14">
        <f>+E29</f>
        <v>9390</v>
      </c>
      <c r="L30" s="9"/>
      <c r="M30" s="8"/>
      <c r="N30" s="14"/>
      <c r="O30" s="14"/>
    </row>
    <row r="31" spans="2:15" ht="14.65" customHeight="1" x14ac:dyDescent="0.25">
      <c r="B31" s="13"/>
      <c r="C31" s="13"/>
      <c r="D31" s="14"/>
      <c r="E31" s="14"/>
      <c r="G31" s="93"/>
      <c r="H31" s="93"/>
      <c r="I31" s="14"/>
      <c r="J31" s="14"/>
      <c r="L31" s="9"/>
      <c r="M31" s="8"/>
      <c r="N31" s="14"/>
      <c r="O31" s="14"/>
    </row>
    <row r="32" spans="2:15" ht="14.65" customHeight="1" x14ac:dyDescent="0.25">
      <c r="B32" s="9"/>
      <c r="C32" s="8"/>
      <c r="D32" s="14"/>
      <c r="E32" s="14"/>
      <c r="G32" s="45"/>
      <c r="H32" s="45"/>
      <c r="I32" s="45"/>
      <c r="J32" s="45"/>
      <c r="L32" s="9"/>
      <c r="M32" s="8"/>
      <c r="N32" s="14"/>
      <c r="O32" s="14"/>
    </row>
    <row r="33" spans="1:15" s="99" customFormat="1" ht="14.65" customHeight="1" x14ac:dyDescent="0.25">
      <c r="A33" s="95">
        <v>2021</v>
      </c>
      <c r="B33" s="96"/>
      <c r="C33" s="97"/>
      <c r="D33" s="98"/>
      <c r="E33" s="98"/>
      <c r="G33" s="100"/>
      <c r="H33" s="100"/>
      <c r="I33" s="100"/>
      <c r="J33" s="100"/>
      <c r="L33" s="96"/>
      <c r="M33" s="97"/>
      <c r="N33" s="98"/>
      <c r="O33" s="98"/>
    </row>
    <row r="34" spans="1:15" ht="14.25" customHeight="1" x14ac:dyDescent="0.25">
      <c r="B34" s="242" t="s">
        <v>11</v>
      </c>
      <c r="C34" s="242"/>
      <c r="D34" s="14">
        <f>+'Example 1 Assumptions '!$E$20</f>
        <v>63899.999999999993</v>
      </c>
      <c r="E34" s="14"/>
      <c r="G34" s="242" t="s">
        <v>141</v>
      </c>
      <c r="H34" s="242"/>
      <c r="I34" s="14">
        <f>+E36</f>
        <v>63899.999999999993</v>
      </c>
      <c r="J34" s="14"/>
      <c r="L34" s="242" t="s">
        <v>11</v>
      </c>
      <c r="M34" s="242"/>
      <c r="N34" s="14">
        <f>+D34</f>
        <v>63899.999999999993</v>
      </c>
      <c r="O34" s="14"/>
    </row>
    <row r="35" spans="1:15" x14ac:dyDescent="0.25">
      <c r="B35" s="242" t="s">
        <v>124</v>
      </c>
      <c r="C35" s="242"/>
      <c r="D35" s="14">
        <f>+D34</f>
        <v>63899.999999999993</v>
      </c>
      <c r="E35" s="14"/>
      <c r="G35" s="93"/>
      <c r="H35" s="45" t="s">
        <v>129</v>
      </c>
      <c r="I35" s="14"/>
      <c r="L35" s="9"/>
      <c r="M35" s="8" t="s">
        <v>24</v>
      </c>
      <c r="N35" s="14"/>
      <c r="O35" s="14">
        <f>+E37</f>
        <v>63899.999999999993</v>
      </c>
    </row>
    <row r="36" spans="1:15" x14ac:dyDescent="0.25">
      <c r="B36" s="45"/>
      <c r="C36" s="45" t="s">
        <v>125</v>
      </c>
      <c r="D36" s="14"/>
      <c r="E36" s="14">
        <f>+D35</f>
        <v>63899.999999999993</v>
      </c>
      <c r="G36" s="93"/>
      <c r="H36" s="93" t="s">
        <v>140</v>
      </c>
      <c r="I36" s="14"/>
      <c r="J36" s="14">
        <f>+D35</f>
        <v>63899.999999999993</v>
      </c>
      <c r="L36" s="244" t="s">
        <v>134</v>
      </c>
      <c r="M36" s="244"/>
      <c r="N36" s="14"/>
      <c r="O36" s="14"/>
    </row>
    <row r="37" spans="1:15" x14ac:dyDescent="0.25">
      <c r="B37" s="9"/>
      <c r="C37" s="8" t="s">
        <v>24</v>
      </c>
      <c r="D37" s="14"/>
      <c r="E37" s="14">
        <f>+D34</f>
        <v>63899.999999999993</v>
      </c>
      <c r="G37" s="9"/>
      <c r="H37" s="8"/>
      <c r="I37" s="14"/>
      <c r="J37" s="14"/>
    </row>
    <row r="38" spans="1:15" ht="14.25" customHeight="1" x14ac:dyDescent="0.25">
      <c r="B38" s="244" t="s">
        <v>132</v>
      </c>
      <c r="C38" s="244"/>
      <c r="D38" s="14"/>
      <c r="E38" s="14"/>
      <c r="G38" s="9"/>
      <c r="H38" s="8"/>
      <c r="I38" s="14"/>
      <c r="J38" s="14"/>
      <c r="L38" s="244"/>
      <c r="M38" s="244"/>
      <c r="N38" s="14"/>
      <c r="O38" s="14"/>
    </row>
    <row r="39" spans="1:15" ht="14.65" customHeight="1" x14ac:dyDescent="0.25">
      <c r="B39" s="244" t="s">
        <v>142</v>
      </c>
      <c r="C39" s="244"/>
      <c r="D39" s="14"/>
      <c r="E39" s="14"/>
      <c r="G39" s="45"/>
      <c r="H39" s="45"/>
      <c r="I39" s="45"/>
      <c r="J39" s="45"/>
      <c r="L39" s="9"/>
      <c r="M39" s="8"/>
      <c r="N39" s="14"/>
      <c r="O39" s="14"/>
    </row>
    <row r="40" spans="1:15" ht="14.65" customHeight="1" x14ac:dyDescent="0.25">
      <c r="B40" s="244" t="s">
        <v>133</v>
      </c>
      <c r="C40" s="244"/>
      <c r="D40" s="14"/>
      <c r="E40" s="14"/>
      <c r="G40" s="45"/>
      <c r="H40" s="45"/>
      <c r="I40" s="45"/>
      <c r="J40" s="45"/>
      <c r="L40" s="9"/>
      <c r="M40" s="8"/>
      <c r="N40" s="14"/>
      <c r="O40" s="14"/>
    </row>
    <row r="41" spans="1:15" ht="14.65" customHeight="1" x14ac:dyDescent="0.25">
      <c r="B41" s="60"/>
      <c r="C41" s="60"/>
      <c r="D41" s="14"/>
      <c r="E41" s="14"/>
      <c r="G41" s="45"/>
      <c r="H41" s="45"/>
      <c r="I41" s="45"/>
      <c r="J41" s="45"/>
      <c r="L41" s="9"/>
      <c r="M41" s="8"/>
      <c r="N41" s="14"/>
      <c r="O41" s="14"/>
    </row>
    <row r="42" spans="1:15" ht="14.65" customHeight="1" x14ac:dyDescent="0.25">
      <c r="B42" s="243"/>
      <c r="C42" s="243"/>
      <c r="D42" s="14"/>
      <c r="E42" s="14"/>
      <c r="G42" s="243"/>
      <c r="H42" s="243"/>
      <c r="I42" s="14"/>
      <c r="J42" s="14"/>
      <c r="L42" s="10"/>
      <c r="M42" s="10"/>
      <c r="N42" s="22"/>
      <c r="O42" s="14"/>
    </row>
    <row r="43" spans="1:15" ht="14.25" customHeight="1" x14ac:dyDescent="0.25">
      <c r="B43" s="245" t="s">
        <v>126</v>
      </c>
      <c r="C43" s="245"/>
      <c r="D43" s="14">
        <f>ROUND(+'Example 1 Assumptions '!G20,0)</f>
        <v>60891</v>
      </c>
      <c r="E43" s="14"/>
      <c r="G43" s="12" t="s">
        <v>14</v>
      </c>
      <c r="H43" s="12"/>
      <c r="I43" s="14">
        <f>+J45</f>
        <v>60891</v>
      </c>
      <c r="J43" s="14"/>
      <c r="L43" s="242" t="s">
        <v>14</v>
      </c>
      <c r="M43" s="242"/>
      <c r="N43" s="14">
        <f>+I43</f>
        <v>60891</v>
      </c>
      <c r="O43" s="14"/>
    </row>
    <row r="44" spans="1:15" ht="14.25" customHeight="1" x14ac:dyDescent="0.25">
      <c r="B44" s="245" t="s">
        <v>127</v>
      </c>
      <c r="C44" s="245"/>
      <c r="D44" s="14">
        <f>ROUND(+'Example 1 Assumptions '!F20,0)</f>
        <v>3009</v>
      </c>
      <c r="E44" s="14"/>
      <c r="G44" s="12" t="s">
        <v>16</v>
      </c>
      <c r="H44" s="12"/>
      <c r="I44" s="14">
        <f>+J46</f>
        <v>3009</v>
      </c>
      <c r="J44" s="14"/>
      <c r="L44" s="242" t="s">
        <v>15</v>
      </c>
      <c r="M44" s="242"/>
      <c r="N44" s="14">
        <f>+I44</f>
        <v>3009</v>
      </c>
      <c r="O44" s="14"/>
    </row>
    <row r="45" spans="1:15" ht="14.65" customHeight="1" x14ac:dyDescent="0.25">
      <c r="B45" s="9"/>
      <c r="C45" s="8" t="s">
        <v>11</v>
      </c>
      <c r="D45" s="14"/>
      <c r="E45" s="14">
        <f>ROUND(+'Example 1 Assumptions '!D20,0)</f>
        <v>63900</v>
      </c>
      <c r="G45" s="12"/>
      <c r="H45" s="245" t="s">
        <v>126</v>
      </c>
      <c r="I45" s="245"/>
      <c r="J45" s="14">
        <f>+D43</f>
        <v>60891</v>
      </c>
      <c r="L45" s="9"/>
      <c r="M45" s="8" t="s">
        <v>11</v>
      </c>
      <c r="N45" s="14"/>
      <c r="O45" s="14">
        <f>+E45</f>
        <v>63900</v>
      </c>
    </row>
    <row r="46" spans="1:15" ht="14.65" customHeight="1" x14ac:dyDescent="0.25">
      <c r="B46" s="13" t="s">
        <v>17</v>
      </c>
      <c r="C46" s="12"/>
      <c r="D46" s="21"/>
      <c r="E46" s="14"/>
      <c r="G46" s="12"/>
      <c r="H46" s="245" t="s">
        <v>127</v>
      </c>
      <c r="I46" s="245"/>
      <c r="J46" s="14">
        <f>+D44</f>
        <v>3009</v>
      </c>
      <c r="L46" s="243" t="s">
        <v>139</v>
      </c>
      <c r="M46" s="243"/>
      <c r="N46" s="14"/>
      <c r="O46" s="14"/>
    </row>
    <row r="47" spans="1:15" ht="14.65" customHeight="1" x14ac:dyDescent="0.25">
      <c r="B47" s="13"/>
      <c r="C47" s="12"/>
      <c r="D47" s="21"/>
      <c r="E47" s="14"/>
      <c r="G47" s="12"/>
      <c r="H47" s="8"/>
      <c r="I47" s="8"/>
      <c r="J47" s="14"/>
      <c r="L47" s="44"/>
      <c r="M47" s="44"/>
      <c r="N47" s="14"/>
      <c r="O47" s="14"/>
    </row>
    <row r="48" spans="1:15" ht="14.65" customHeight="1" x14ac:dyDescent="0.25">
      <c r="C48" s="12"/>
      <c r="D48" s="21"/>
      <c r="E48" s="14"/>
      <c r="G48" s="12"/>
      <c r="H48" s="8"/>
      <c r="I48" s="8"/>
      <c r="J48" s="14"/>
      <c r="L48" s="44"/>
      <c r="M48" s="44"/>
      <c r="N48" s="14"/>
      <c r="O48" s="14"/>
    </row>
    <row r="49" spans="1:15" ht="14.65" customHeight="1" x14ac:dyDescent="0.25">
      <c r="B49" s="11" t="s">
        <v>128</v>
      </c>
      <c r="D49" s="14">
        <f>+E50</f>
        <v>2160</v>
      </c>
      <c r="E49" s="14"/>
      <c r="G49" s="11" t="s">
        <v>128</v>
      </c>
      <c r="I49" s="14">
        <f>+E50</f>
        <v>2160</v>
      </c>
      <c r="L49" s="12" t="s">
        <v>131</v>
      </c>
      <c r="M49" s="8"/>
      <c r="N49" s="14"/>
      <c r="O49" s="14"/>
    </row>
    <row r="50" spans="1:15" ht="14.65" customHeight="1" x14ac:dyDescent="0.25">
      <c r="C50" s="11" t="s">
        <v>125</v>
      </c>
      <c r="D50" s="14"/>
      <c r="E50" s="14">
        <f>-'Example 1 Assumptions '!G48</f>
        <v>2160</v>
      </c>
      <c r="H50" s="12" t="s">
        <v>125</v>
      </c>
      <c r="I50" s="14"/>
      <c r="J50" s="14">
        <f>+D49</f>
        <v>2160</v>
      </c>
      <c r="M50" s="12"/>
      <c r="N50" s="21"/>
      <c r="O50" s="14"/>
    </row>
    <row r="51" spans="1:15" ht="14.65" customHeight="1" x14ac:dyDescent="0.25">
      <c r="B51" s="13" t="s">
        <v>345</v>
      </c>
      <c r="C51" s="13"/>
      <c r="D51" s="14"/>
      <c r="E51" s="14"/>
      <c r="G51" s="93"/>
      <c r="H51" s="93" t="s">
        <v>140</v>
      </c>
      <c r="I51" s="14"/>
      <c r="J51" s="14"/>
      <c r="L51" s="9"/>
      <c r="M51" s="8"/>
      <c r="N51" s="14"/>
      <c r="O51" s="14"/>
    </row>
    <row r="52" spans="1:15" ht="14.65" customHeight="1" x14ac:dyDescent="0.25">
      <c r="B52" s="13" t="s">
        <v>146</v>
      </c>
      <c r="C52" s="13"/>
      <c r="D52" s="21"/>
      <c r="E52" s="14"/>
      <c r="G52" s="12"/>
      <c r="H52" s="8"/>
      <c r="I52" s="8"/>
      <c r="J52" s="14"/>
      <c r="L52" s="44"/>
      <c r="M52" s="44"/>
      <c r="N52" s="14"/>
      <c r="O52" s="14"/>
    </row>
    <row r="53" spans="1:15" ht="14.65" customHeight="1" x14ac:dyDescent="0.25">
      <c r="B53" s="13"/>
      <c r="C53" s="12"/>
      <c r="D53" s="21"/>
      <c r="E53" s="14"/>
      <c r="G53" s="12"/>
      <c r="H53" s="8"/>
      <c r="I53" s="8"/>
      <c r="J53" s="14"/>
      <c r="L53" s="44"/>
      <c r="M53" s="44"/>
      <c r="N53" s="14"/>
      <c r="O53" s="14"/>
    </row>
    <row r="54" spans="1:15" s="99" customFormat="1" ht="14.65" customHeight="1" x14ac:dyDescent="0.25">
      <c r="A54" s="95">
        <v>2022</v>
      </c>
      <c r="B54" s="101"/>
      <c r="C54" s="101"/>
      <c r="D54" s="102"/>
      <c r="E54" s="98"/>
      <c r="G54" s="101"/>
      <c r="H54" s="97"/>
      <c r="I54" s="97"/>
      <c r="J54" s="98"/>
      <c r="L54" s="103"/>
      <c r="M54" s="103"/>
      <c r="N54" s="98"/>
      <c r="O54" s="98"/>
    </row>
    <row r="55" spans="1:15" ht="14.65" customHeight="1" x14ac:dyDescent="0.25">
      <c r="B55" s="242" t="s">
        <v>11</v>
      </c>
      <c r="C55" s="242"/>
      <c r="D55" s="14">
        <f>+'Example 1 Assumptions '!D21</f>
        <v>50940</v>
      </c>
      <c r="E55" s="14"/>
      <c r="G55" s="242" t="s">
        <v>125</v>
      </c>
      <c r="H55" s="242"/>
      <c r="I55" s="14">
        <f>+E57</f>
        <v>50940</v>
      </c>
      <c r="J55" s="14"/>
      <c r="L55" s="242" t="s">
        <v>11</v>
      </c>
      <c r="M55" s="242"/>
      <c r="N55" s="14">
        <f>+D55</f>
        <v>50940</v>
      </c>
      <c r="O55" s="14"/>
    </row>
    <row r="56" spans="1:15" ht="14.65" customHeight="1" x14ac:dyDescent="0.25">
      <c r="B56" s="242" t="s">
        <v>124</v>
      </c>
      <c r="C56" s="242"/>
      <c r="D56" s="14">
        <f>+D55</f>
        <v>50940</v>
      </c>
      <c r="E56" s="14"/>
      <c r="G56" s="93"/>
      <c r="H56" s="45" t="s">
        <v>129</v>
      </c>
      <c r="I56" s="14"/>
      <c r="L56" s="9"/>
      <c r="M56" s="8" t="s">
        <v>24</v>
      </c>
      <c r="N56" s="14"/>
      <c r="O56" s="14">
        <f>+E58</f>
        <v>50940</v>
      </c>
    </row>
    <row r="57" spans="1:15" ht="14.65" customHeight="1" x14ac:dyDescent="0.25">
      <c r="B57" s="45"/>
      <c r="C57" s="45" t="s">
        <v>125</v>
      </c>
      <c r="D57" s="14"/>
      <c r="E57" s="14">
        <f>+D56</f>
        <v>50940</v>
      </c>
      <c r="G57" s="93"/>
      <c r="H57" s="45" t="s">
        <v>130</v>
      </c>
      <c r="I57" s="14"/>
      <c r="J57" s="14">
        <f>+D56</f>
        <v>50940</v>
      </c>
      <c r="L57" s="244" t="s">
        <v>134</v>
      </c>
      <c r="M57" s="244"/>
      <c r="N57" s="14"/>
      <c r="O57" s="14"/>
    </row>
    <row r="58" spans="1:15" ht="14.65" customHeight="1" x14ac:dyDescent="0.25">
      <c r="B58" s="9"/>
      <c r="C58" s="8" t="s">
        <v>24</v>
      </c>
      <c r="D58" s="14"/>
      <c r="E58" s="14">
        <f>+D55</f>
        <v>50940</v>
      </c>
      <c r="G58" s="12"/>
      <c r="H58" s="8"/>
      <c r="I58" s="8"/>
      <c r="J58" s="14"/>
      <c r="L58" s="44"/>
      <c r="M58" s="44"/>
      <c r="N58" s="14"/>
      <c r="O58" s="14"/>
    </row>
    <row r="59" spans="1:15" ht="14.65" customHeight="1" x14ac:dyDescent="0.25">
      <c r="B59" s="244" t="s">
        <v>132</v>
      </c>
      <c r="C59" s="244"/>
      <c r="D59" s="14"/>
      <c r="E59" s="14"/>
      <c r="G59" s="12"/>
      <c r="H59" s="8"/>
      <c r="I59" s="8"/>
      <c r="J59" s="14"/>
      <c r="L59" s="44"/>
      <c r="M59" s="44"/>
      <c r="N59" s="14"/>
      <c r="O59" s="14"/>
    </row>
    <row r="60" spans="1:15" ht="14.65" customHeight="1" x14ac:dyDescent="0.25">
      <c r="B60" s="244" t="s">
        <v>142</v>
      </c>
      <c r="C60" s="244"/>
      <c r="D60" s="14"/>
      <c r="E60" s="14"/>
      <c r="G60" s="12"/>
      <c r="H60" s="8"/>
      <c r="I60" s="8"/>
      <c r="J60" s="14"/>
      <c r="L60" s="44"/>
      <c r="M60" s="44"/>
      <c r="N60" s="14"/>
      <c r="O60" s="14"/>
    </row>
    <row r="61" spans="1:15" x14ac:dyDescent="0.25">
      <c r="B61" s="244" t="s">
        <v>133</v>
      </c>
      <c r="C61" s="244"/>
      <c r="D61" s="14"/>
      <c r="E61" s="14"/>
      <c r="G61" s="241"/>
      <c r="H61" s="241"/>
      <c r="I61" s="14"/>
      <c r="J61" s="14"/>
    </row>
    <row r="62" spans="1:15" x14ac:dyDescent="0.25">
      <c r="B62" s="60"/>
      <c r="C62" s="60"/>
      <c r="D62" s="14"/>
      <c r="E62" s="14"/>
      <c r="G62" s="11"/>
      <c r="H62" s="11"/>
      <c r="I62" s="14"/>
      <c r="J62" s="14"/>
    </row>
    <row r="63" spans="1:15" ht="14.25" customHeight="1" x14ac:dyDescent="0.25">
      <c r="G63" s="9"/>
      <c r="H63" s="8"/>
      <c r="I63" s="14"/>
      <c r="J63" s="14"/>
      <c r="L63" s="9"/>
      <c r="M63" s="8"/>
      <c r="N63" s="14"/>
      <c r="O63" s="14"/>
    </row>
    <row r="64" spans="1:15" ht="14.25" customHeight="1" x14ac:dyDescent="0.25">
      <c r="B64" s="245" t="s">
        <v>126</v>
      </c>
      <c r="C64" s="245"/>
      <c r="D64" s="14">
        <f>ROUND(+'Example 1 Assumptions '!G21,0)-1</f>
        <v>28008</v>
      </c>
      <c r="E64" s="14"/>
      <c r="G64" s="242" t="s">
        <v>14</v>
      </c>
      <c r="H64" s="242"/>
      <c r="I64" s="14">
        <f>+J66</f>
        <v>28008</v>
      </c>
      <c r="J64" s="14"/>
      <c r="L64" s="242" t="s">
        <v>14</v>
      </c>
      <c r="M64" s="242"/>
      <c r="N64" s="14">
        <f>+I64</f>
        <v>28008</v>
      </c>
      <c r="O64" s="14"/>
    </row>
    <row r="65" spans="1:16" ht="14.65" customHeight="1" x14ac:dyDescent="0.25">
      <c r="B65" s="241" t="s">
        <v>127</v>
      </c>
      <c r="C65" s="241"/>
      <c r="D65" s="14">
        <f>ROUND(++'Example 1 Assumptions '!F21,0)</f>
        <v>423</v>
      </c>
      <c r="E65" s="14"/>
      <c r="G65" s="11" t="s">
        <v>16</v>
      </c>
      <c r="H65" s="12"/>
      <c r="I65" s="14">
        <f>+J67</f>
        <v>423</v>
      </c>
      <c r="J65" s="14"/>
      <c r="L65" s="242" t="s">
        <v>15</v>
      </c>
      <c r="M65" s="242"/>
      <c r="N65" s="14">
        <f>+I65</f>
        <v>423</v>
      </c>
      <c r="O65" s="14"/>
    </row>
    <row r="66" spans="1:16" ht="14.65" customHeight="1" x14ac:dyDescent="0.25">
      <c r="B66" s="9"/>
      <c r="C66" s="8" t="s">
        <v>11</v>
      </c>
      <c r="D66" s="14"/>
      <c r="E66" s="14">
        <f>ROUND(+'Example 1 Assumptions '!E21,0)</f>
        <v>28431</v>
      </c>
      <c r="G66" s="12"/>
      <c r="H66" s="245" t="s">
        <v>126</v>
      </c>
      <c r="I66" s="245"/>
      <c r="J66" s="14">
        <f>+D64</f>
        <v>28008</v>
      </c>
      <c r="L66" s="9"/>
      <c r="M66" s="8" t="s">
        <v>11</v>
      </c>
      <c r="N66" s="14"/>
      <c r="O66" s="14">
        <f>+E66</f>
        <v>28431</v>
      </c>
    </row>
    <row r="67" spans="1:16" x14ac:dyDescent="0.25">
      <c r="B67" s="10" t="s">
        <v>137</v>
      </c>
      <c r="C67" s="10"/>
      <c r="D67" s="19"/>
      <c r="E67" s="14"/>
      <c r="G67" s="9"/>
      <c r="H67" s="245" t="s">
        <v>127</v>
      </c>
      <c r="I67" s="245"/>
      <c r="J67" s="14">
        <f>+D65</f>
        <v>423</v>
      </c>
      <c r="L67" s="243" t="s">
        <v>139</v>
      </c>
      <c r="M67" s="243"/>
      <c r="N67" s="14"/>
      <c r="O67" s="14"/>
    </row>
    <row r="68" spans="1:16" x14ac:dyDescent="0.25">
      <c r="B68" s="9"/>
      <c r="C68" s="8"/>
      <c r="D68" s="14"/>
      <c r="E68" s="14"/>
      <c r="G68" s="9"/>
      <c r="H68" s="8"/>
      <c r="I68" s="8"/>
      <c r="J68" s="14"/>
    </row>
    <row r="69" spans="1:16" x14ac:dyDescent="0.25">
      <c r="D69" s="16"/>
      <c r="E69" s="16"/>
      <c r="G69" s="9"/>
      <c r="H69" s="8"/>
      <c r="I69" s="14"/>
      <c r="J69" s="14"/>
      <c r="N69" s="16"/>
      <c r="O69" s="16"/>
    </row>
    <row r="70" spans="1:16" ht="14.65" customHeight="1" x14ac:dyDescent="0.25">
      <c r="B70" s="11" t="s">
        <v>128</v>
      </c>
      <c r="D70" s="14">
        <f>+E71</f>
        <v>2230</v>
      </c>
      <c r="E70" s="14"/>
      <c r="G70" s="11" t="s">
        <v>128</v>
      </c>
      <c r="I70" s="14">
        <f>+E71</f>
        <v>2230</v>
      </c>
      <c r="L70" s="12" t="s">
        <v>131</v>
      </c>
      <c r="M70" s="8"/>
      <c r="N70" s="14"/>
      <c r="O70" s="14"/>
    </row>
    <row r="71" spans="1:16" ht="14.65" customHeight="1" x14ac:dyDescent="0.25">
      <c r="C71" s="11" t="s">
        <v>125</v>
      </c>
      <c r="D71" s="14"/>
      <c r="E71" s="14">
        <f>-'Example 1 Assumptions '!G60</f>
        <v>2230</v>
      </c>
      <c r="H71" s="12" t="s">
        <v>125</v>
      </c>
      <c r="I71" s="14"/>
      <c r="J71" s="14">
        <f>+D70</f>
        <v>2230</v>
      </c>
      <c r="M71" s="12"/>
      <c r="N71" s="21"/>
      <c r="O71" s="14"/>
    </row>
    <row r="72" spans="1:16" ht="14.65" customHeight="1" x14ac:dyDescent="0.25">
      <c r="B72" s="13" t="s">
        <v>345</v>
      </c>
      <c r="C72" s="13"/>
      <c r="D72" s="14"/>
      <c r="E72" s="14"/>
      <c r="G72" s="93"/>
      <c r="H72" s="93" t="s">
        <v>140</v>
      </c>
      <c r="I72" s="14"/>
      <c r="J72" s="14"/>
      <c r="L72" s="9"/>
      <c r="M72" s="8"/>
      <c r="N72" s="14"/>
      <c r="O72" s="14"/>
    </row>
    <row r="73" spans="1:16" s="5" customFormat="1" x14ac:dyDescent="0.25">
      <c r="B73" s="13" t="s">
        <v>146</v>
      </c>
      <c r="C73" s="13"/>
      <c r="D73" s="16"/>
      <c r="E73" s="16"/>
      <c r="F73" s="15"/>
      <c r="G73" s="15"/>
      <c r="H73" s="15"/>
      <c r="I73" s="16"/>
      <c r="J73" s="16"/>
      <c r="K73" s="15"/>
      <c r="L73" s="15"/>
      <c r="M73" s="15"/>
      <c r="N73" s="16"/>
      <c r="O73" s="16"/>
      <c r="P73" s="15"/>
    </row>
    <row r="74" spans="1:16" s="5" customFormat="1" x14ac:dyDescent="0.25">
      <c r="B74" s="15"/>
      <c r="C74" s="15"/>
      <c r="D74" s="16"/>
      <c r="E74" s="16"/>
      <c r="F74" s="15"/>
      <c r="G74" s="15"/>
      <c r="H74" s="15"/>
      <c r="I74" s="16"/>
      <c r="J74" s="16"/>
      <c r="K74" s="15"/>
      <c r="L74" s="15"/>
      <c r="M74" s="15"/>
      <c r="N74" s="16"/>
      <c r="O74" s="16"/>
      <c r="P74" s="15"/>
    </row>
    <row r="75" spans="1:16" ht="15.75" thickBot="1" x14ac:dyDescent="0.3">
      <c r="A75" t="s">
        <v>367</v>
      </c>
      <c r="D75" s="297">
        <f>SUM(D6:D74)-SUM(E6:E74)</f>
        <v>0</v>
      </c>
      <c r="E75" s="16"/>
      <c r="I75" s="297">
        <f>SUM(I6:I74)-SUM(J6:J74)</f>
        <v>0</v>
      </c>
      <c r="J75" s="16"/>
      <c r="N75" s="297">
        <f>SUM(N6:N74)-SUM(O6:O74)</f>
        <v>0</v>
      </c>
      <c r="O75" s="16"/>
    </row>
    <row r="76" spans="1:16" ht="15.75" thickTop="1" x14ac:dyDescent="0.25">
      <c r="D76" s="16"/>
      <c r="E76" s="16"/>
      <c r="I76" s="16"/>
      <c r="J76" s="16"/>
      <c r="N76" s="16"/>
      <c r="O76" s="16"/>
    </row>
    <row r="77" spans="1:16" x14ac:dyDescent="0.25">
      <c r="D77" s="16"/>
      <c r="E77" s="16"/>
      <c r="I77" s="16"/>
      <c r="J77" s="16"/>
      <c r="N77" s="16"/>
      <c r="O77" s="16"/>
    </row>
    <row r="78" spans="1:16" x14ac:dyDescent="0.25">
      <c r="D78" s="16"/>
      <c r="E78" s="16"/>
      <c r="I78" s="16"/>
      <c r="J78" s="16"/>
      <c r="N78" s="16"/>
      <c r="O78" s="16"/>
    </row>
    <row r="79" spans="1:16" x14ac:dyDescent="0.25">
      <c r="D79" s="16"/>
      <c r="E79" s="16"/>
      <c r="I79" s="16"/>
      <c r="J79" s="16"/>
      <c r="N79" s="16"/>
      <c r="O79" s="16"/>
    </row>
    <row r="80" spans="1:16" x14ac:dyDescent="0.25">
      <c r="D80" s="16"/>
      <c r="E80" s="16"/>
      <c r="I80" s="16"/>
      <c r="J80" s="16"/>
      <c r="N80" s="16"/>
      <c r="O80" s="16"/>
    </row>
    <row r="81" spans="4:15" x14ac:dyDescent="0.25">
      <c r="D81" s="16"/>
      <c r="E81" s="16"/>
      <c r="I81" s="16"/>
      <c r="J81" s="16"/>
      <c r="N81" s="16"/>
      <c r="O81" s="16"/>
    </row>
    <row r="82" spans="4:15" x14ac:dyDescent="0.25">
      <c r="D82" s="16"/>
      <c r="E82" s="16"/>
      <c r="I82" s="16"/>
      <c r="J82" s="16"/>
      <c r="N82" s="16"/>
      <c r="O82" s="16"/>
    </row>
    <row r="83" spans="4:15" x14ac:dyDescent="0.25">
      <c r="D83" s="16"/>
      <c r="E83" s="16"/>
      <c r="I83" s="16"/>
      <c r="J83" s="16"/>
      <c r="N83" s="16"/>
      <c r="O83" s="16"/>
    </row>
    <row r="84" spans="4:15" x14ac:dyDescent="0.25">
      <c r="D84" s="16"/>
      <c r="E84" s="16"/>
      <c r="I84" s="16"/>
      <c r="J84" s="16"/>
      <c r="N84" s="16"/>
      <c r="O84" s="16"/>
    </row>
    <row r="85" spans="4:15" x14ac:dyDescent="0.25">
      <c r="D85" s="16"/>
      <c r="E85" s="16"/>
      <c r="I85" s="16"/>
      <c r="J85" s="16"/>
      <c r="N85" s="16"/>
      <c r="O85" s="16"/>
    </row>
    <row r="86" spans="4:15" x14ac:dyDescent="0.25">
      <c r="D86" s="16"/>
      <c r="E86" s="16"/>
      <c r="I86" s="16"/>
      <c r="J86" s="16"/>
      <c r="N86" s="16"/>
      <c r="O86" s="16"/>
    </row>
    <row r="87" spans="4:15" x14ac:dyDescent="0.25">
      <c r="D87" s="16"/>
      <c r="E87" s="16"/>
      <c r="I87" s="16"/>
      <c r="J87" s="16"/>
      <c r="N87" s="16"/>
      <c r="O87" s="16"/>
    </row>
    <row r="88" spans="4:15" x14ac:dyDescent="0.25">
      <c r="D88" s="16"/>
      <c r="E88" s="16"/>
      <c r="I88" s="16"/>
      <c r="J88" s="16"/>
      <c r="N88" s="16"/>
      <c r="O88" s="16"/>
    </row>
    <row r="89" spans="4:15" x14ac:dyDescent="0.25">
      <c r="D89" s="16"/>
      <c r="E89" s="16"/>
      <c r="I89" s="16"/>
      <c r="J89" s="16"/>
      <c r="N89" s="16"/>
      <c r="O89" s="16"/>
    </row>
    <row r="90" spans="4:15" x14ac:dyDescent="0.25">
      <c r="D90" s="16"/>
      <c r="E90" s="16"/>
      <c r="I90" s="16"/>
      <c r="J90" s="16"/>
      <c r="N90" s="16"/>
      <c r="O90" s="16"/>
    </row>
    <row r="91" spans="4:15" x14ac:dyDescent="0.25">
      <c r="D91" s="16"/>
      <c r="E91" s="16"/>
      <c r="I91" s="16"/>
      <c r="J91" s="16"/>
      <c r="N91" s="16"/>
      <c r="O91" s="16"/>
    </row>
    <row r="92" spans="4:15" x14ac:dyDescent="0.25">
      <c r="D92" s="16"/>
      <c r="E92" s="16"/>
      <c r="I92" s="16"/>
      <c r="J92" s="16"/>
      <c r="N92" s="16"/>
      <c r="O92" s="16"/>
    </row>
    <row r="93" spans="4:15" x14ac:dyDescent="0.25">
      <c r="D93" s="16"/>
      <c r="E93" s="16"/>
      <c r="I93" s="16"/>
      <c r="J93" s="16"/>
      <c r="N93" s="16"/>
      <c r="O93" s="16"/>
    </row>
    <row r="94" spans="4:15" x14ac:dyDescent="0.25">
      <c r="D94" s="16"/>
      <c r="E94" s="16"/>
      <c r="I94" s="16"/>
      <c r="J94" s="16"/>
      <c r="N94" s="16"/>
      <c r="O94" s="16"/>
    </row>
    <row r="95" spans="4:15" x14ac:dyDescent="0.25">
      <c r="D95" s="16"/>
      <c r="E95" s="16"/>
      <c r="I95" s="16"/>
      <c r="J95" s="16"/>
      <c r="N95" s="16"/>
      <c r="O95" s="16"/>
    </row>
    <row r="96" spans="4:15" x14ac:dyDescent="0.25">
      <c r="D96" s="16"/>
      <c r="E96" s="16"/>
      <c r="I96" s="16"/>
      <c r="J96" s="16"/>
      <c r="N96" s="16"/>
      <c r="O96" s="16"/>
    </row>
    <row r="97" spans="4:15" x14ac:dyDescent="0.25">
      <c r="D97" s="16"/>
      <c r="E97" s="16"/>
      <c r="I97" s="16"/>
      <c r="J97" s="16"/>
      <c r="N97" s="16"/>
      <c r="O97" s="16"/>
    </row>
    <row r="98" spans="4:15" x14ac:dyDescent="0.25">
      <c r="D98" s="16"/>
      <c r="E98" s="16"/>
      <c r="I98" s="16"/>
      <c r="J98" s="16"/>
      <c r="N98" s="16"/>
      <c r="O98" s="16"/>
    </row>
    <row r="99" spans="4:15" x14ac:dyDescent="0.25">
      <c r="D99" s="16"/>
      <c r="E99" s="16"/>
      <c r="I99" s="16"/>
      <c r="J99" s="16"/>
      <c r="N99" s="16"/>
      <c r="O99" s="16"/>
    </row>
    <row r="100" spans="4:15" x14ac:dyDescent="0.25">
      <c r="D100" s="16"/>
      <c r="E100" s="16"/>
      <c r="I100" s="16"/>
      <c r="J100" s="16"/>
      <c r="N100" s="16"/>
      <c r="O100" s="16"/>
    </row>
    <row r="101" spans="4:15" x14ac:dyDescent="0.25">
      <c r="D101" s="16"/>
      <c r="E101" s="16"/>
      <c r="I101" s="16"/>
      <c r="J101" s="16"/>
      <c r="N101" s="16"/>
      <c r="O101" s="16"/>
    </row>
    <row r="102" spans="4:15" x14ac:dyDescent="0.25">
      <c r="D102" s="16"/>
      <c r="E102" s="16"/>
      <c r="I102" s="16"/>
      <c r="J102" s="16"/>
      <c r="N102" s="16"/>
      <c r="O102" s="16"/>
    </row>
    <row r="103" spans="4:15" x14ac:dyDescent="0.25">
      <c r="D103" s="16"/>
      <c r="E103" s="16"/>
      <c r="I103" s="16"/>
      <c r="J103" s="16"/>
      <c r="N103" s="16"/>
      <c r="O103" s="16"/>
    </row>
    <row r="104" spans="4:15" x14ac:dyDescent="0.25">
      <c r="D104" s="16"/>
      <c r="E104" s="16"/>
      <c r="I104" s="16"/>
      <c r="J104" s="16"/>
      <c r="N104" s="16"/>
      <c r="O104" s="16"/>
    </row>
    <row r="105" spans="4:15" x14ac:dyDescent="0.25">
      <c r="D105" s="16"/>
      <c r="E105" s="16"/>
      <c r="I105" s="16"/>
      <c r="J105" s="16"/>
      <c r="N105" s="16"/>
      <c r="O105" s="16"/>
    </row>
    <row r="106" spans="4:15" x14ac:dyDescent="0.25">
      <c r="D106" s="16"/>
      <c r="E106" s="16"/>
      <c r="I106" s="16"/>
      <c r="J106" s="16"/>
      <c r="N106" s="16"/>
      <c r="O106" s="16"/>
    </row>
    <row r="107" spans="4:15" x14ac:dyDescent="0.25">
      <c r="D107" s="16"/>
      <c r="E107" s="16"/>
      <c r="I107" s="16"/>
      <c r="J107" s="16"/>
      <c r="N107" s="16"/>
      <c r="O107" s="16"/>
    </row>
    <row r="108" spans="4:15" x14ac:dyDescent="0.25">
      <c r="D108" s="16"/>
      <c r="E108" s="16"/>
      <c r="I108" s="16"/>
      <c r="J108" s="16"/>
      <c r="N108" s="16"/>
      <c r="O108" s="16"/>
    </row>
    <row r="109" spans="4:15" x14ac:dyDescent="0.25">
      <c r="D109" s="16"/>
      <c r="E109" s="16"/>
      <c r="I109" s="16"/>
      <c r="J109" s="16"/>
      <c r="N109" s="16"/>
      <c r="O109" s="16"/>
    </row>
    <row r="110" spans="4:15" x14ac:dyDescent="0.25">
      <c r="D110" s="16"/>
      <c r="E110" s="16"/>
      <c r="I110" s="16"/>
      <c r="J110" s="16"/>
      <c r="N110" s="16"/>
      <c r="O110" s="16"/>
    </row>
    <row r="111" spans="4:15" x14ac:dyDescent="0.25">
      <c r="D111" s="16"/>
      <c r="E111" s="16"/>
      <c r="I111" s="16"/>
      <c r="J111" s="16"/>
      <c r="N111" s="16"/>
      <c r="O111" s="16"/>
    </row>
    <row r="112" spans="4:15" x14ac:dyDescent="0.25">
      <c r="D112" s="16"/>
      <c r="E112" s="16"/>
      <c r="I112" s="16"/>
      <c r="J112" s="16"/>
      <c r="N112" s="16"/>
      <c r="O112" s="16"/>
    </row>
    <row r="113" spans="4:15" x14ac:dyDescent="0.25">
      <c r="D113" s="16"/>
      <c r="E113" s="16"/>
      <c r="I113" s="16"/>
      <c r="J113" s="16"/>
      <c r="N113" s="16"/>
      <c r="O113" s="16"/>
    </row>
  </sheetData>
  <mergeCells count="67">
    <mergeCell ref="L4:M4"/>
    <mergeCell ref="L5:M5"/>
    <mergeCell ref="H66:I66"/>
    <mergeCell ref="H67:I67"/>
    <mergeCell ref="L67:M67"/>
    <mergeCell ref="G61:H61"/>
    <mergeCell ref="L46:M46"/>
    <mergeCell ref="L65:M65"/>
    <mergeCell ref="H45:I45"/>
    <mergeCell ref="H46:I46"/>
    <mergeCell ref="G9:H9"/>
    <mergeCell ref="L6:M6"/>
    <mergeCell ref="L9:M9"/>
    <mergeCell ref="G64:H64"/>
    <mergeCell ref="G13:H13"/>
    <mergeCell ref="L13:M13"/>
    <mergeCell ref="A1:O1"/>
    <mergeCell ref="G42:H42"/>
    <mergeCell ref="B42:C42"/>
    <mergeCell ref="B4:C4"/>
    <mergeCell ref="B5:C5"/>
    <mergeCell ref="B6:C6"/>
    <mergeCell ref="B22:C22"/>
    <mergeCell ref="B23:C23"/>
    <mergeCell ref="L22:M22"/>
    <mergeCell ref="L23:M23"/>
    <mergeCell ref="G4:H4"/>
    <mergeCell ref="G5:H5"/>
    <mergeCell ref="G6:H6"/>
    <mergeCell ref="G7:H7"/>
    <mergeCell ref="L10:M10"/>
    <mergeCell ref="L38:M38"/>
    <mergeCell ref="B44:C44"/>
    <mergeCell ref="B43:C43"/>
    <mergeCell ref="B64:C64"/>
    <mergeCell ref="B13:C13"/>
    <mergeCell ref="B17:C17"/>
    <mergeCell ref="B38:C38"/>
    <mergeCell ref="B14:C14"/>
    <mergeCell ref="L15:M15"/>
    <mergeCell ref="B34:C34"/>
    <mergeCell ref="G34:H34"/>
    <mergeCell ref="L34:M34"/>
    <mergeCell ref="L36:M36"/>
    <mergeCell ref="B35:C35"/>
    <mergeCell ref="B28:C28"/>
    <mergeCell ref="H24:I24"/>
    <mergeCell ref="H25:I25"/>
    <mergeCell ref="G28:H28"/>
    <mergeCell ref="B18:C18"/>
    <mergeCell ref="B19:C19"/>
    <mergeCell ref="B65:C65"/>
    <mergeCell ref="L64:M64"/>
    <mergeCell ref="B9:C9"/>
    <mergeCell ref="B10:C10"/>
    <mergeCell ref="B60:C60"/>
    <mergeCell ref="B61:C61"/>
    <mergeCell ref="G55:H55"/>
    <mergeCell ref="L55:M55"/>
    <mergeCell ref="L57:M57"/>
    <mergeCell ref="L43:M43"/>
    <mergeCell ref="L44:M44"/>
    <mergeCell ref="B56:C56"/>
    <mergeCell ref="B55:C55"/>
    <mergeCell ref="B59:C59"/>
    <mergeCell ref="B39:C39"/>
    <mergeCell ref="B40:C40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1"/>
  <sheetViews>
    <sheetView workbookViewId="0">
      <selection activeCell="D1" sqref="D1"/>
    </sheetView>
    <sheetView workbookViewId="1"/>
  </sheetViews>
  <sheetFormatPr defaultRowHeight="15" x14ac:dyDescent="0.25"/>
  <cols>
    <col min="2" max="2" width="2.7109375" hidden="1" customWidth="1"/>
    <col min="3" max="3" width="2.7109375" customWidth="1"/>
    <col min="4" max="4" width="10.140625" customWidth="1"/>
    <col min="5" max="5" width="11.85546875" customWidth="1"/>
    <col min="7" max="7" width="11.28515625" customWidth="1"/>
  </cols>
  <sheetData>
    <row r="1" spans="1:8" ht="18.75" x14ac:dyDescent="0.25">
      <c r="A1" s="46" t="s">
        <v>70</v>
      </c>
      <c r="D1" s="46" t="s">
        <v>71</v>
      </c>
      <c r="H1" s="174" t="s">
        <v>348</v>
      </c>
    </row>
    <row r="2" spans="1:8" x14ac:dyDescent="0.25">
      <c r="A2" s="23"/>
    </row>
    <row r="3" spans="1:8" x14ac:dyDescent="0.25">
      <c r="A3" s="23"/>
      <c r="B3" s="12"/>
      <c r="C3" s="12"/>
      <c r="D3" s="12"/>
    </row>
    <row r="4" spans="1:8" x14ac:dyDescent="0.25">
      <c r="A4" s="23"/>
      <c r="B4" s="61"/>
      <c r="C4" s="61"/>
      <c r="D4" s="23"/>
    </row>
    <row r="5" spans="1:8" x14ac:dyDescent="0.25">
      <c r="A5" s="23"/>
      <c r="B5" s="61"/>
      <c r="C5" s="61"/>
      <c r="D5" s="23"/>
    </row>
    <row r="6" spans="1:8" x14ac:dyDescent="0.25">
      <c r="A6" s="23"/>
      <c r="B6" s="61"/>
      <c r="C6" s="61"/>
      <c r="D6" s="23"/>
    </row>
    <row r="7" spans="1:8" x14ac:dyDescent="0.25">
      <c r="A7" s="23"/>
      <c r="B7" s="61"/>
      <c r="C7" s="61"/>
      <c r="D7" s="23"/>
    </row>
    <row r="8" spans="1:8" x14ac:dyDescent="0.25">
      <c r="A8" s="23"/>
      <c r="B8" s="23"/>
      <c r="C8" s="23"/>
      <c r="D8" s="23"/>
    </row>
    <row r="9" spans="1:8" x14ac:dyDescent="0.25">
      <c r="A9" s="23"/>
      <c r="B9" s="23"/>
      <c r="C9" s="23"/>
      <c r="D9" s="23"/>
    </row>
    <row r="10" spans="1:8" x14ac:dyDescent="0.25">
      <c r="A10" s="23"/>
      <c r="B10" s="23"/>
      <c r="C10" s="23"/>
    </row>
    <row r="11" spans="1:8" x14ac:dyDescent="0.25">
      <c r="A11" s="23"/>
      <c r="B11" s="23"/>
      <c r="C11" s="23"/>
    </row>
    <row r="12" spans="1:8" x14ac:dyDescent="0.25">
      <c r="A12" s="23"/>
      <c r="B12" s="61"/>
      <c r="C12" s="61"/>
    </row>
    <row r="13" spans="1:8" x14ac:dyDescent="0.25">
      <c r="A13" s="23"/>
    </row>
    <row r="14" spans="1:8" x14ac:dyDescent="0.25">
      <c r="A14" s="23"/>
    </row>
    <row r="15" spans="1:8" x14ac:dyDescent="0.25">
      <c r="A15" s="23"/>
    </row>
    <row r="16" spans="1:8" x14ac:dyDescent="0.25">
      <c r="A16" s="23"/>
    </row>
    <row r="17" spans="1:5" x14ac:dyDescent="0.25">
      <c r="A17" s="23"/>
    </row>
    <row r="18" spans="1:5" x14ac:dyDescent="0.25">
      <c r="A18" s="23"/>
    </row>
    <row r="19" spans="1:5" x14ac:dyDescent="0.25">
      <c r="A19" s="23"/>
    </row>
    <row r="20" spans="1:5" x14ac:dyDescent="0.25">
      <c r="A20" s="23"/>
    </row>
    <row r="21" spans="1:5" x14ac:dyDescent="0.25">
      <c r="A21" s="23"/>
    </row>
    <row r="22" spans="1:5" x14ac:dyDescent="0.25">
      <c r="A22" s="23"/>
    </row>
    <row r="23" spans="1:5" x14ac:dyDescent="0.25">
      <c r="A23" s="23"/>
    </row>
    <row r="24" spans="1:5" x14ac:dyDescent="0.25">
      <c r="A24" s="23"/>
    </row>
    <row r="25" spans="1:5" x14ac:dyDescent="0.25">
      <c r="A25" s="23"/>
    </row>
    <row r="26" spans="1:5" x14ac:dyDescent="0.25">
      <c r="A26" s="23"/>
    </row>
    <row r="27" spans="1:5" x14ac:dyDescent="0.25">
      <c r="A27" s="23"/>
    </row>
    <row r="28" spans="1:5" x14ac:dyDescent="0.25">
      <c r="A28" s="23"/>
    </row>
    <row r="29" spans="1:5" x14ac:dyDescent="0.25">
      <c r="A29" s="23"/>
    </row>
    <row r="30" spans="1:5" x14ac:dyDescent="0.25">
      <c r="A30" s="23"/>
    </row>
    <row r="31" spans="1:5" ht="45" x14ac:dyDescent="0.25">
      <c r="D31" s="150" t="s">
        <v>308</v>
      </c>
      <c r="E31" s="65" t="s">
        <v>18</v>
      </c>
    </row>
    <row r="32" spans="1:5" x14ac:dyDescent="0.25">
      <c r="B32">
        <v>1</v>
      </c>
      <c r="D32" s="24">
        <f>'Example 1 Assumptions '!C35</f>
        <v>43982</v>
      </c>
      <c r="E32" s="50">
        <v>6666.0000000000009</v>
      </c>
    </row>
    <row r="33" spans="2:5" x14ac:dyDescent="0.25">
      <c r="B33">
        <v>2</v>
      </c>
      <c r="D33" s="24">
        <f>'Example 1 Assumptions '!C36</f>
        <v>44012</v>
      </c>
      <c r="E33" s="25">
        <v>6631.6701000000012</v>
      </c>
    </row>
    <row r="34" spans="2:5" x14ac:dyDescent="0.25">
      <c r="B34">
        <v>3</v>
      </c>
      <c r="D34" s="24">
        <f>'Example 1 Assumptions '!C37</f>
        <v>44043</v>
      </c>
      <c r="E34" s="48">
        <v>6595.9870020000008</v>
      </c>
    </row>
    <row r="35" spans="2:5" x14ac:dyDescent="0.25">
      <c r="B35">
        <v>4</v>
      </c>
      <c r="D35" s="24">
        <f>'Example 1 Assumptions '!C38</f>
        <v>44074</v>
      </c>
      <c r="E35" s="48">
        <v>6558.9270750300011</v>
      </c>
    </row>
    <row r="36" spans="2:5" x14ac:dyDescent="0.25">
      <c r="B36">
        <v>5</v>
      </c>
      <c r="D36" s="24">
        <f>'Example 1 Assumptions '!C39</f>
        <v>44104</v>
      </c>
      <c r="E36" s="48">
        <v>6520.4663508204003</v>
      </c>
    </row>
    <row r="37" spans="2:5" x14ac:dyDescent="0.25">
      <c r="B37">
        <v>6</v>
      </c>
      <c r="D37" s="24">
        <f>'Example 1 Assumptions '!C40</f>
        <v>44135</v>
      </c>
      <c r="E37" s="48">
        <v>7064.4166022496565</v>
      </c>
    </row>
    <row r="38" spans="2:5" x14ac:dyDescent="0.25">
      <c r="B38">
        <v>7</v>
      </c>
      <c r="D38" s="24">
        <f>'Example 1 Assumptions '!C41</f>
        <v>44165</v>
      </c>
      <c r="E38" s="48">
        <v>6439.244924754702</v>
      </c>
    </row>
    <row r="39" spans="2:5" x14ac:dyDescent="0.25">
      <c r="B39">
        <v>8</v>
      </c>
      <c r="D39" s="24">
        <f>'Example 1 Assumptions '!C42</f>
        <v>44196</v>
      </c>
      <c r="E39" s="48">
        <v>8778.7193125268477</v>
      </c>
    </row>
    <row r="40" spans="2:5" x14ac:dyDescent="0.25">
      <c r="B40">
        <v>9</v>
      </c>
      <c r="D40" s="24">
        <f>'Example 1 Assumptions '!C43</f>
        <v>44227</v>
      </c>
      <c r="E40" s="48">
        <v>10322.201603595</v>
      </c>
    </row>
    <row r="41" spans="2:5" x14ac:dyDescent="0.25">
      <c r="B41">
        <v>10</v>
      </c>
      <c r="D41" s="24">
        <f>'Example 1 Assumptions '!C44</f>
        <v>44255</v>
      </c>
      <c r="E41" s="48">
        <v>9951.5407278295443</v>
      </c>
    </row>
    <row r="42" spans="2:5" x14ac:dyDescent="0.25">
      <c r="B42">
        <v>11</v>
      </c>
      <c r="D42" s="24">
        <f>'Example 1 Assumptions '!C45</f>
        <v>44286</v>
      </c>
      <c r="E42" s="48">
        <v>10676.946077587079</v>
      </c>
    </row>
    <row r="43" spans="2:5" x14ac:dyDescent="0.25">
      <c r="B43">
        <v>12</v>
      </c>
      <c r="D43" s="24">
        <f>'Example 1 Assumptions '!C46</f>
        <v>44316</v>
      </c>
      <c r="E43" s="48">
        <v>11167.962873637953</v>
      </c>
    </row>
    <row r="44" spans="2:5" x14ac:dyDescent="0.25">
      <c r="B44">
        <v>13</v>
      </c>
      <c r="D44" s="24">
        <f>'Example 1 Assumptions '!C47</f>
        <v>44347</v>
      </c>
      <c r="E44" s="48">
        <v>10853.995615492282</v>
      </c>
    </row>
    <row r="45" spans="2:5" x14ac:dyDescent="0.25">
      <c r="B45">
        <v>14</v>
      </c>
      <c r="D45" s="24">
        <f>'Example 1 Assumptions '!C48</f>
        <v>44377</v>
      </c>
      <c r="E45" s="48">
        <v>11417.727360089304</v>
      </c>
    </row>
    <row r="46" spans="2:5" x14ac:dyDescent="0.25">
      <c r="B46">
        <v>15</v>
      </c>
      <c r="D46" s="24">
        <f>'Example 1 Assumptions '!C49</f>
        <v>44408</v>
      </c>
      <c r="E46" s="48">
        <v>11672.381877289965</v>
      </c>
    </row>
    <row r="47" spans="2:5" x14ac:dyDescent="0.25">
      <c r="B47">
        <v>16</v>
      </c>
      <c r="D47" s="24">
        <f>'Example 1 Assumptions '!C50</f>
        <v>44439</v>
      </c>
      <c r="E47" s="48">
        <v>11415.053108332208</v>
      </c>
    </row>
    <row r="48" spans="2:5" x14ac:dyDescent="0.25">
      <c r="B48">
        <v>17</v>
      </c>
      <c r="D48" s="24">
        <f>'Example 1 Assumptions '!C51</f>
        <v>44469</v>
      </c>
      <c r="E48" s="48">
        <v>12975.239350121885</v>
      </c>
    </row>
    <row r="49" spans="2:5" x14ac:dyDescent="0.25">
      <c r="B49">
        <v>18</v>
      </c>
      <c r="D49" s="24">
        <f>'Example 1 Assumptions '!C52</f>
        <v>44500</v>
      </c>
      <c r="E49" s="48">
        <v>11539.234697949259</v>
      </c>
    </row>
    <row r="50" spans="2:5" x14ac:dyDescent="0.25">
      <c r="B50">
        <v>19</v>
      </c>
      <c r="D50" s="24">
        <f>'Example 1 Assumptions '!C53</f>
        <v>44530</v>
      </c>
      <c r="E50" s="48">
        <v>8478.5086142127057</v>
      </c>
    </row>
    <row r="51" spans="2:5" x14ac:dyDescent="0.25">
      <c r="B51">
        <v>20</v>
      </c>
      <c r="D51" s="24">
        <f>'Example 1 Assumptions '!C54</f>
        <v>44561</v>
      </c>
      <c r="E51" s="48">
        <v>8308.2739820057086</v>
      </c>
    </row>
    <row r="52" spans="2:5" x14ac:dyDescent="0.25">
      <c r="B52">
        <v>21</v>
      </c>
      <c r="D52" s="24">
        <f>'Example 1 Assumptions '!C55</f>
        <v>44592</v>
      </c>
      <c r="E52" s="48">
        <v>7388.1896823829438</v>
      </c>
    </row>
    <row r="53" spans="2:5" x14ac:dyDescent="0.25">
      <c r="B53">
        <v>22</v>
      </c>
      <c r="D53" s="24">
        <f>'Example 1 Assumptions '!C56</f>
        <v>44620</v>
      </c>
      <c r="E53" s="48">
        <v>5202.9122937588509</v>
      </c>
    </row>
    <row r="54" spans="2:5" x14ac:dyDescent="0.25">
      <c r="B54">
        <v>23</v>
      </c>
      <c r="D54" s="24">
        <f>'Example 1 Assumptions '!C57</f>
        <v>44651</v>
      </c>
      <c r="E54" s="48">
        <v>6679.3071164852108</v>
      </c>
    </row>
    <row r="55" spans="2:5" x14ac:dyDescent="0.25">
      <c r="B55">
        <v>24</v>
      </c>
      <c r="D55" s="24">
        <f>'Example 1 Assumptions '!C58</f>
        <v>44681</v>
      </c>
      <c r="E55" s="48">
        <v>7584.1250556811292</v>
      </c>
    </row>
    <row r="56" spans="2:5" x14ac:dyDescent="0.25">
      <c r="B56">
        <v>25</v>
      </c>
      <c r="D56" s="24">
        <f>'Example 1 Assumptions '!C59</f>
        <v>44712</v>
      </c>
      <c r="E56" s="48">
        <v>6799.4544375813757</v>
      </c>
    </row>
    <row r="57" spans="2:5" x14ac:dyDescent="0.25">
      <c r="B57">
        <v>26</v>
      </c>
      <c r="D57" s="24">
        <f>'Example 1 Assumptions '!C60</f>
        <v>44742</v>
      </c>
      <c r="E57" s="48">
        <v>6026.8276335433429</v>
      </c>
    </row>
    <row r="58" spans="2:5" x14ac:dyDescent="0.25">
      <c r="B58">
        <v>27</v>
      </c>
      <c r="D58" s="24">
        <f>'Example 1 Assumptions '!C61</f>
        <v>44773</v>
      </c>
      <c r="E58" s="48">
        <v>3793.8057465395327</v>
      </c>
    </row>
    <row r="59" spans="2:5" x14ac:dyDescent="0.25">
      <c r="B59">
        <v>28</v>
      </c>
      <c r="D59" s="24">
        <f>'Example 1 Assumptions '!C62</f>
        <v>44804</v>
      </c>
      <c r="E59" s="48">
        <v>3038.9692238659777</v>
      </c>
    </row>
    <row r="60" spans="2:5" x14ac:dyDescent="0.25">
      <c r="B60">
        <v>29</v>
      </c>
      <c r="D60" s="24">
        <f>'Example 1 Assumptions '!C63</f>
        <v>44834</v>
      </c>
      <c r="E60" s="48">
        <v>1401.2290703955953</v>
      </c>
    </row>
    <row r="61" spans="2:5" x14ac:dyDescent="0.25">
      <c r="B61">
        <v>30</v>
      </c>
      <c r="D61" s="24">
        <f>'Example 1 Assumptions '!C64</f>
        <v>44865</v>
      </c>
      <c r="E61" s="48">
        <v>1107.43</v>
      </c>
    </row>
    <row r="62" spans="2:5" x14ac:dyDescent="0.25">
      <c r="B62">
        <v>31</v>
      </c>
      <c r="D62" s="24">
        <f>'Example 1 Assumptions '!C65</f>
        <v>44895</v>
      </c>
      <c r="E62" s="48">
        <v>1497.4601449348584</v>
      </c>
    </row>
    <row r="63" spans="2:5" x14ac:dyDescent="0.25">
      <c r="B63">
        <v>32</v>
      </c>
      <c r="D63" s="24">
        <f>'Example 1 Assumptions '!C66</f>
        <v>44926</v>
      </c>
      <c r="E63" s="48">
        <v>1220.56</v>
      </c>
    </row>
    <row r="64" spans="2:5" x14ac:dyDescent="0.25">
      <c r="B64">
        <v>33</v>
      </c>
      <c r="D64" s="24">
        <f>'Example 1 Assumptions '!C67</f>
        <v>44957</v>
      </c>
      <c r="E64" s="48">
        <v>902.27</v>
      </c>
    </row>
    <row r="65" spans="2:5" x14ac:dyDescent="0.25">
      <c r="B65">
        <v>34</v>
      </c>
      <c r="D65" s="24">
        <f>'Example 1 Assumptions '!C68</f>
        <v>44985</v>
      </c>
      <c r="E65" s="48">
        <v>0</v>
      </c>
    </row>
    <row r="66" spans="2:5" x14ac:dyDescent="0.25">
      <c r="B66">
        <v>35</v>
      </c>
      <c r="D66" s="24">
        <f>'Example 1 Assumptions '!C69</f>
        <v>45016</v>
      </c>
      <c r="E66" s="48">
        <v>0</v>
      </c>
    </row>
    <row r="67" spans="2:5" x14ac:dyDescent="0.25">
      <c r="B67">
        <v>36</v>
      </c>
      <c r="D67" s="24">
        <f>'Example 1 Assumptions '!C70</f>
        <v>45046</v>
      </c>
      <c r="E67" s="48">
        <v>865.61511407290652</v>
      </c>
    </row>
    <row r="68" spans="2:5" x14ac:dyDescent="0.25">
      <c r="B68">
        <v>37</v>
      </c>
      <c r="D68" s="24">
        <f>'Example 1 Assumptions '!C71</f>
        <v>45077</v>
      </c>
      <c r="E68" s="48">
        <v>0</v>
      </c>
    </row>
    <row r="69" spans="2:5" x14ac:dyDescent="0.25">
      <c r="B69">
        <v>38</v>
      </c>
      <c r="D69" s="24">
        <f>'Example 1 Assumptions '!C72</f>
        <v>45107</v>
      </c>
      <c r="E69" s="48">
        <v>0</v>
      </c>
    </row>
    <row r="70" spans="2:5" x14ac:dyDescent="0.25">
      <c r="D70" s="24"/>
      <c r="E70" s="48"/>
    </row>
    <row r="71" spans="2:5" x14ac:dyDescent="0.25">
      <c r="D71" s="24"/>
      <c r="E71" s="48"/>
    </row>
    <row r="72" spans="2:5" x14ac:dyDescent="0.25">
      <c r="D72" s="24"/>
      <c r="E72" s="48"/>
    </row>
    <row r="73" spans="2:5" hidden="1" x14ac:dyDescent="0.25">
      <c r="D73" s="24"/>
      <c r="E73" s="48"/>
    </row>
    <row r="74" spans="2:5" hidden="1" x14ac:dyDescent="0.25">
      <c r="E74" s="40" t="s">
        <v>63</v>
      </c>
    </row>
    <row r="75" spans="2:5" hidden="1" x14ac:dyDescent="0.25">
      <c r="E75" s="3"/>
    </row>
    <row r="76" spans="2:5" hidden="1" x14ac:dyDescent="0.25">
      <c r="E76" s="29" t="e">
        <f>NPV(5%/12,#REF!)-#REF!</f>
        <v>#REF!</v>
      </c>
    </row>
    <row r="77" spans="2:5" hidden="1" x14ac:dyDescent="0.25">
      <c r="D77" s="24"/>
      <c r="E77" s="48"/>
    </row>
    <row r="78" spans="2:5" x14ac:dyDescent="0.25">
      <c r="D78" s="24"/>
      <c r="E78" s="48"/>
    </row>
    <row r="79" spans="2:5" x14ac:dyDescent="0.25">
      <c r="D79" s="24"/>
      <c r="E79" s="48"/>
    </row>
    <row r="80" spans="2:5" x14ac:dyDescent="0.25">
      <c r="D80" s="24"/>
      <c r="E80" s="48"/>
    </row>
    <row r="81" spans="4:5" x14ac:dyDescent="0.25">
      <c r="D81" s="24"/>
      <c r="E81" s="48"/>
    </row>
    <row r="82" spans="4:5" x14ac:dyDescent="0.25">
      <c r="D82" s="24"/>
      <c r="E82" s="48"/>
    </row>
    <row r="83" spans="4:5" x14ac:dyDescent="0.25">
      <c r="D83" s="24"/>
      <c r="E83" s="48"/>
    </row>
    <row r="84" spans="4:5" x14ac:dyDescent="0.25">
      <c r="D84" s="24"/>
      <c r="E84" s="48"/>
    </row>
    <row r="85" spans="4:5" x14ac:dyDescent="0.25">
      <c r="D85" s="24"/>
      <c r="E85" s="48"/>
    </row>
    <row r="86" spans="4:5" x14ac:dyDescent="0.25">
      <c r="D86" s="24"/>
      <c r="E86" s="48"/>
    </row>
    <row r="87" spans="4:5" x14ac:dyDescent="0.25">
      <c r="D87" s="24"/>
      <c r="E87" s="48"/>
    </row>
    <row r="88" spans="4:5" x14ac:dyDescent="0.25">
      <c r="D88" s="24"/>
      <c r="E88" s="48"/>
    </row>
    <row r="89" spans="4:5" x14ac:dyDescent="0.25">
      <c r="D89" s="24"/>
      <c r="E89" s="29"/>
    </row>
    <row r="90" spans="4:5" x14ac:dyDescent="0.25">
      <c r="D90" s="24"/>
      <c r="E90" s="29"/>
    </row>
    <row r="91" spans="4:5" x14ac:dyDescent="0.25">
      <c r="D91" s="24"/>
      <c r="E91" s="29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10246" r:id="rId4">
          <objectPr defaultSize="0" r:id="rId5">
            <anchor moveWithCells="1">
              <from>
                <xdr:col>0</xdr:col>
                <xdr:colOff>171450</xdr:colOff>
                <xdr:row>3</xdr:row>
                <xdr:rowOff>28575</xdr:rowOff>
              </from>
              <to>
                <xdr:col>10</xdr:col>
                <xdr:colOff>295275</xdr:colOff>
                <xdr:row>28</xdr:row>
                <xdr:rowOff>171450</xdr:rowOff>
              </to>
            </anchor>
          </objectPr>
        </oleObject>
      </mc:Choice>
      <mc:Fallback>
        <oleObject progId="Word.Document.12" shapeId="1024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2"/>
  <sheetViews>
    <sheetView workbookViewId="0"/>
    <sheetView workbookViewId="1"/>
  </sheetViews>
  <sheetFormatPr defaultRowHeight="15" x14ac:dyDescent="0.25"/>
  <cols>
    <col min="2" max="2" width="10.42578125" customWidth="1"/>
    <col min="3" max="3" width="0.5703125" customWidth="1"/>
    <col min="4" max="4" width="13.5703125" customWidth="1"/>
    <col min="5" max="5" width="10.42578125" bestFit="1" customWidth="1"/>
    <col min="6" max="6" width="13.140625" customWidth="1"/>
    <col min="7" max="7" width="11.85546875" style="5" customWidth="1"/>
    <col min="8" max="10" width="10.42578125" style="5" customWidth="1"/>
    <col min="11" max="11" width="0.85546875" style="25" customWidth="1"/>
    <col min="12" max="12" width="12.140625" style="5" customWidth="1"/>
    <col min="13" max="13" width="9.140625" style="5" bestFit="1" customWidth="1"/>
    <col min="14" max="14" width="11.140625" style="5" customWidth="1"/>
    <col min="15" max="15" width="11.42578125" style="5" bestFit="1" customWidth="1"/>
    <col min="16" max="16" width="1.42578125" style="25" customWidth="1"/>
    <col min="17" max="18" width="14" style="5" customWidth="1"/>
    <col min="19" max="19" width="13" style="5" customWidth="1"/>
    <col min="20" max="21" width="11.42578125" style="5" customWidth="1"/>
    <col min="22" max="22" width="1" style="5" customWidth="1"/>
    <col min="23" max="23" width="11.42578125" style="5" customWidth="1"/>
    <col min="24" max="24" width="11.85546875" style="5" customWidth="1"/>
    <col min="25" max="25" width="12" style="5" customWidth="1"/>
  </cols>
  <sheetData>
    <row r="1" spans="1:26" ht="18.75" x14ac:dyDescent="0.25">
      <c r="A1" s="46" t="s">
        <v>32</v>
      </c>
      <c r="D1" s="174" t="s">
        <v>348</v>
      </c>
    </row>
    <row r="6" spans="1:26" x14ac:dyDescent="0.25">
      <c r="D6" s="251" t="s">
        <v>41</v>
      </c>
      <c r="E6" s="251"/>
      <c r="F6" s="251"/>
      <c r="G6" s="251"/>
      <c r="H6" s="251"/>
      <c r="I6" s="251"/>
      <c r="J6" s="251"/>
      <c r="K6" s="53"/>
      <c r="L6" s="252" t="s">
        <v>42</v>
      </c>
      <c r="M6" s="252"/>
      <c r="N6" s="252"/>
      <c r="O6" s="252"/>
      <c r="P6" s="55"/>
      <c r="Q6" s="252" t="s">
        <v>43</v>
      </c>
      <c r="R6" s="252"/>
      <c r="S6" s="252"/>
      <c r="T6" s="252"/>
      <c r="U6" s="252"/>
      <c r="V6" s="252"/>
      <c r="W6" s="252"/>
      <c r="X6" s="252"/>
      <c r="Y6" s="252"/>
    </row>
    <row r="7" spans="1:26" s="3" customFormat="1" ht="72.75" customHeight="1" x14ac:dyDescent="0.25">
      <c r="D7" s="256" t="s">
        <v>310</v>
      </c>
      <c r="E7" s="52" t="s">
        <v>311</v>
      </c>
      <c r="F7" s="52" t="s">
        <v>312</v>
      </c>
      <c r="G7" s="253" t="s">
        <v>18</v>
      </c>
      <c r="H7" s="130" t="s">
        <v>313</v>
      </c>
      <c r="I7" s="253" t="s">
        <v>21</v>
      </c>
      <c r="J7" s="253" t="s">
        <v>40</v>
      </c>
      <c r="K7" s="54"/>
      <c r="L7" s="253" t="s">
        <v>22</v>
      </c>
      <c r="M7" s="6" t="s">
        <v>3</v>
      </c>
      <c r="N7" s="253" t="s">
        <v>62</v>
      </c>
      <c r="O7" s="253" t="s">
        <v>2</v>
      </c>
      <c r="P7" s="54"/>
      <c r="Q7" s="254" t="s">
        <v>163</v>
      </c>
      <c r="R7" s="254" t="s">
        <v>158</v>
      </c>
      <c r="S7" s="253" t="s">
        <v>58</v>
      </c>
      <c r="T7" s="253" t="s">
        <v>59</v>
      </c>
      <c r="U7" s="255" t="s">
        <v>57</v>
      </c>
      <c r="V7" s="54"/>
      <c r="W7" s="253" t="s">
        <v>50</v>
      </c>
      <c r="X7" s="253" t="s">
        <v>6</v>
      </c>
      <c r="Y7" s="253" t="s">
        <v>51</v>
      </c>
    </row>
    <row r="8" spans="1:26" s="3" customFormat="1" x14ac:dyDescent="0.25">
      <c r="D8" s="254"/>
      <c r="E8" s="107">
        <v>0.01</v>
      </c>
      <c r="F8" s="107">
        <v>0.05</v>
      </c>
      <c r="G8" s="253"/>
      <c r="H8" s="108">
        <v>0.1</v>
      </c>
      <c r="I8" s="253"/>
      <c r="J8" s="253"/>
      <c r="K8" s="54"/>
      <c r="L8" s="253"/>
      <c r="M8" s="4">
        <v>0.05</v>
      </c>
      <c r="N8" s="253"/>
      <c r="O8" s="253"/>
      <c r="P8" s="54"/>
      <c r="Q8" s="254"/>
      <c r="R8" s="254"/>
      <c r="S8" s="253"/>
      <c r="T8" s="253"/>
      <c r="U8" s="253"/>
      <c r="V8" s="6"/>
      <c r="W8" s="253"/>
      <c r="X8" s="253"/>
      <c r="Y8" s="253"/>
    </row>
    <row r="9" spans="1:26" x14ac:dyDescent="0.25">
      <c r="B9" s="24">
        <v>43952</v>
      </c>
      <c r="C9" s="24"/>
      <c r="D9" s="24"/>
      <c r="E9" s="24"/>
      <c r="F9" s="24"/>
      <c r="G9" s="5">
        <f>'Example 1 Assumptions '!D34</f>
        <v>0</v>
      </c>
      <c r="J9" s="5">
        <v>0</v>
      </c>
      <c r="O9" s="5">
        <v>190000</v>
      </c>
    </row>
    <row r="10" spans="1:26" x14ac:dyDescent="0.25">
      <c r="B10" s="24">
        <v>43982</v>
      </c>
      <c r="C10" s="24"/>
      <c r="D10" s="51">
        <v>220000</v>
      </c>
      <c r="E10" s="51">
        <f>D10*E$8</f>
        <v>2200</v>
      </c>
      <c r="F10" s="51">
        <f>E10*F$8</f>
        <v>110</v>
      </c>
      <c r="G10" s="31">
        <f>+'Example 2 Assumptions '!E32</f>
        <v>6666.0000000000009</v>
      </c>
      <c r="H10" s="51">
        <f>G10*H$8</f>
        <v>666.60000000000014</v>
      </c>
      <c r="I10" s="31">
        <f>+G10-H10</f>
        <v>5999.4000000000005</v>
      </c>
      <c r="J10" s="5">
        <f>+I10+J9-L9</f>
        <v>5999.4000000000005</v>
      </c>
      <c r="L10" s="5">
        <f>+M10+N10</f>
        <v>5791.67</v>
      </c>
      <c r="M10" s="5">
        <f>ROUND(+O9*(+M$8/12),2)</f>
        <v>791.67</v>
      </c>
      <c r="N10" s="5">
        <f t="shared" ref="N10:N34" si="0">ROUNDDOWN(J10-M10,-3)</f>
        <v>5000</v>
      </c>
      <c r="O10" s="5">
        <f>+O9-N10</f>
        <v>185000</v>
      </c>
    </row>
    <row r="11" spans="1:26" x14ac:dyDescent="0.25">
      <c r="A11" s="30" t="s">
        <v>111</v>
      </c>
      <c r="B11" s="2">
        <v>44012</v>
      </c>
      <c r="C11" s="24"/>
      <c r="D11" s="7">
        <f>+D10+E10-G10</f>
        <v>215534</v>
      </c>
      <c r="E11" s="7">
        <f>+D11*E$8</f>
        <v>2155.34</v>
      </c>
      <c r="F11" s="7">
        <f>+E11*F$8</f>
        <v>107.76700000000001</v>
      </c>
      <c r="G11" s="7">
        <f>+'Example 2 Assumptions '!E33</f>
        <v>6631.6701000000012</v>
      </c>
      <c r="H11" s="7">
        <f>+G11*H$8</f>
        <v>663.16701000000012</v>
      </c>
      <c r="I11" s="7">
        <f>+G11-H11</f>
        <v>5968.5030900000011</v>
      </c>
      <c r="J11" s="7">
        <f t="shared" ref="J11:J35" si="1">+J10-L10+I11</f>
        <v>6176.2330900000015</v>
      </c>
      <c r="L11" s="7">
        <f>+M11+N11</f>
        <v>5770.83</v>
      </c>
      <c r="M11" s="7">
        <f t="shared" ref="M11:M29" si="2">ROUND(+O10*(+M$8/12),2)</f>
        <v>770.83</v>
      </c>
      <c r="N11" s="7">
        <f t="shared" si="0"/>
        <v>5000</v>
      </c>
      <c r="O11" s="7">
        <f t="shared" ref="O11:O29" si="3">+O10-N11</f>
        <v>180000</v>
      </c>
      <c r="Q11" s="7">
        <f>SUM(E10:E11)</f>
        <v>4355.34</v>
      </c>
      <c r="R11" s="7">
        <f>SUM(F10:F11)</f>
        <v>217.767</v>
      </c>
      <c r="S11" s="32">
        <f>SUM(G10:G11)</f>
        <v>13297.670100000003</v>
      </c>
      <c r="T11" s="32">
        <f>+S11-SUM(I10:I11)</f>
        <v>1329.7670100000014</v>
      </c>
      <c r="U11" s="32">
        <f>+I10+I11</f>
        <v>11967.903090000002</v>
      </c>
      <c r="V11" s="32"/>
      <c r="W11" s="7">
        <f>SUM(M10:M11)</f>
        <v>1562.5</v>
      </c>
      <c r="X11" s="7">
        <f>SUM(N10:N11)</f>
        <v>10000</v>
      </c>
      <c r="Y11" s="7">
        <f>SUM(W11:X11)</f>
        <v>11562.5</v>
      </c>
      <c r="Z11" s="48">
        <f>+W11+X11-Y11</f>
        <v>0</v>
      </c>
    </row>
    <row r="12" spans="1:26" x14ac:dyDescent="0.25">
      <c r="B12" s="24">
        <v>44043</v>
      </c>
      <c r="C12" s="24"/>
      <c r="D12" s="25">
        <f t="shared" ref="D12:D47" si="4">+D11+E11-G11</f>
        <v>211057.66990000001</v>
      </c>
      <c r="E12" s="25">
        <f>+D12*E$8</f>
        <v>2110.5766990000002</v>
      </c>
      <c r="F12" s="25">
        <f>+E12*F$8</f>
        <v>105.52883495000002</v>
      </c>
      <c r="G12" s="25">
        <f>+'Example 2 Assumptions '!E34</f>
        <v>6595.9870020000008</v>
      </c>
      <c r="H12" s="25">
        <f>+G12*H$8</f>
        <v>659.59870020000017</v>
      </c>
      <c r="I12" s="25">
        <f>+G12-H12</f>
        <v>5936.3883018000006</v>
      </c>
      <c r="J12" s="25">
        <f t="shared" si="1"/>
        <v>6341.7913918000022</v>
      </c>
      <c r="L12" s="5">
        <f t="shared" ref="L12:L32" si="5">+M12+N12</f>
        <v>5750</v>
      </c>
      <c r="M12" s="5">
        <f t="shared" si="2"/>
        <v>750</v>
      </c>
      <c r="N12" s="5">
        <f t="shared" si="0"/>
        <v>5000</v>
      </c>
      <c r="O12" s="5">
        <f t="shared" si="3"/>
        <v>175000</v>
      </c>
    </row>
    <row r="13" spans="1:26" x14ac:dyDescent="0.25">
      <c r="B13" s="24">
        <v>44074</v>
      </c>
      <c r="C13" s="24"/>
      <c r="D13" s="25">
        <f t="shared" si="4"/>
        <v>206572.259597</v>
      </c>
      <c r="E13" s="25">
        <f t="shared" ref="E13:F22" si="6">+D13*E$8</f>
        <v>2065.7225959699999</v>
      </c>
      <c r="F13" s="25">
        <f t="shared" si="6"/>
        <v>103.2861297985</v>
      </c>
      <c r="G13" s="25">
        <f>+'Example 2 Assumptions '!E35</f>
        <v>6558.9270750300011</v>
      </c>
      <c r="H13" s="25">
        <f t="shared" ref="H13" si="7">+G13*H$8</f>
        <v>655.89270750300011</v>
      </c>
      <c r="I13" s="25">
        <f t="shared" ref="I13:I22" si="8">+G13-H13</f>
        <v>5903.0343675270015</v>
      </c>
      <c r="J13" s="25">
        <f t="shared" si="1"/>
        <v>6494.8257593270037</v>
      </c>
      <c r="L13" s="5">
        <f t="shared" si="5"/>
        <v>5729.17</v>
      </c>
      <c r="M13" s="5">
        <f t="shared" si="2"/>
        <v>729.17</v>
      </c>
      <c r="N13" s="5">
        <f t="shared" si="0"/>
        <v>5000</v>
      </c>
      <c r="O13" s="5">
        <f t="shared" si="3"/>
        <v>170000</v>
      </c>
    </row>
    <row r="14" spans="1:26" x14ac:dyDescent="0.25">
      <c r="B14" s="24">
        <v>44104</v>
      </c>
      <c r="C14" s="24"/>
      <c r="D14" s="25">
        <f t="shared" si="4"/>
        <v>202079.05511794001</v>
      </c>
      <c r="E14" s="25">
        <f t="shared" si="6"/>
        <v>2020.7905511794002</v>
      </c>
      <c r="F14" s="25">
        <f t="shared" si="6"/>
        <v>101.03952755897001</v>
      </c>
      <c r="G14" s="25">
        <f>+'Example 2 Assumptions '!E36</f>
        <v>6520.4663508204003</v>
      </c>
      <c r="H14" s="25">
        <f t="shared" ref="H14" si="9">+G14*H$8</f>
        <v>652.0466350820401</v>
      </c>
      <c r="I14" s="25">
        <f t="shared" si="8"/>
        <v>5868.4197157383605</v>
      </c>
      <c r="J14" s="25">
        <f t="shared" si="1"/>
        <v>6634.0754750653641</v>
      </c>
      <c r="L14" s="5">
        <f t="shared" si="5"/>
        <v>5708.33</v>
      </c>
      <c r="M14" s="5">
        <f t="shared" si="2"/>
        <v>708.33</v>
      </c>
      <c r="N14" s="5">
        <f t="shared" si="0"/>
        <v>5000</v>
      </c>
      <c r="O14" s="5">
        <f t="shared" si="3"/>
        <v>165000</v>
      </c>
    </row>
    <row r="15" spans="1:26" x14ac:dyDescent="0.25">
      <c r="B15" s="24">
        <v>44135</v>
      </c>
      <c r="C15" s="24"/>
      <c r="D15" s="25">
        <f t="shared" si="4"/>
        <v>197579.379318299</v>
      </c>
      <c r="E15" s="25">
        <f t="shared" si="6"/>
        <v>1975.7937931829902</v>
      </c>
      <c r="F15" s="25">
        <f t="shared" si="6"/>
        <v>98.789689659149516</v>
      </c>
      <c r="G15" s="25">
        <f>+'Example 2 Assumptions '!E37</f>
        <v>7064.4166022496565</v>
      </c>
      <c r="H15" s="25">
        <f t="shared" ref="H15" si="10">+G15*H$8</f>
        <v>706.44166022496574</v>
      </c>
      <c r="I15" s="25">
        <f t="shared" si="8"/>
        <v>6357.9749420246908</v>
      </c>
      <c r="J15" s="25">
        <f t="shared" si="1"/>
        <v>7283.720417090055</v>
      </c>
      <c r="L15" s="5">
        <f t="shared" si="5"/>
        <v>6687.5</v>
      </c>
      <c r="M15" s="5">
        <f t="shared" si="2"/>
        <v>687.5</v>
      </c>
      <c r="N15" s="5">
        <f t="shared" si="0"/>
        <v>6000</v>
      </c>
      <c r="O15" s="5">
        <f t="shared" si="3"/>
        <v>159000</v>
      </c>
    </row>
    <row r="16" spans="1:26" x14ac:dyDescent="0.25">
      <c r="B16" s="24">
        <v>44165</v>
      </c>
      <c r="C16" s="24"/>
      <c r="D16" s="25">
        <f t="shared" si="4"/>
        <v>192490.75650923233</v>
      </c>
      <c r="E16" s="25">
        <f t="shared" si="6"/>
        <v>1924.9075650923235</v>
      </c>
      <c r="F16" s="25">
        <f t="shared" si="6"/>
        <v>96.245378254616185</v>
      </c>
      <c r="G16" s="25">
        <f>+'Example 2 Assumptions '!E38</f>
        <v>6439.244924754702</v>
      </c>
      <c r="H16" s="25">
        <f t="shared" ref="H16" si="11">+G16*H$8</f>
        <v>643.92449247547029</v>
      </c>
      <c r="I16" s="25">
        <f t="shared" si="8"/>
        <v>5795.3204322792317</v>
      </c>
      <c r="J16" s="25">
        <f t="shared" si="1"/>
        <v>6391.5408493692867</v>
      </c>
      <c r="L16" s="5">
        <f t="shared" si="5"/>
        <v>5662.5</v>
      </c>
      <c r="M16" s="5">
        <f t="shared" si="2"/>
        <v>662.5</v>
      </c>
      <c r="N16" s="5">
        <f t="shared" si="0"/>
        <v>5000</v>
      </c>
      <c r="O16" s="5">
        <f t="shared" si="3"/>
        <v>154000</v>
      </c>
    </row>
    <row r="17" spans="1:26" x14ac:dyDescent="0.25">
      <c r="B17" s="24">
        <v>44196</v>
      </c>
      <c r="C17" s="24"/>
      <c r="D17" s="25">
        <f t="shared" si="4"/>
        <v>187976.41914956996</v>
      </c>
      <c r="E17" s="25">
        <f t="shared" si="6"/>
        <v>1879.7641914956996</v>
      </c>
      <c r="F17" s="25">
        <f t="shared" si="6"/>
        <v>93.988209574784989</v>
      </c>
      <c r="G17" s="25">
        <f>+'Example 2 Assumptions '!E39</f>
        <v>8778.7193125268477</v>
      </c>
      <c r="H17" s="25">
        <f t="shared" ref="H17" si="12">+G17*H$8</f>
        <v>877.87193125268482</v>
      </c>
      <c r="I17" s="25">
        <f t="shared" si="8"/>
        <v>7900.8473812741631</v>
      </c>
      <c r="J17" s="25">
        <f t="shared" si="1"/>
        <v>8629.8882306434498</v>
      </c>
      <c r="L17" s="5">
        <f t="shared" si="5"/>
        <v>7641.67</v>
      </c>
      <c r="M17" s="5">
        <f t="shared" si="2"/>
        <v>641.66999999999996</v>
      </c>
      <c r="N17" s="5">
        <f t="shared" si="0"/>
        <v>7000</v>
      </c>
      <c r="O17" s="5">
        <f t="shared" si="3"/>
        <v>147000</v>
      </c>
    </row>
    <row r="18" spans="1:26" x14ac:dyDescent="0.25">
      <c r="B18" s="24">
        <v>44227</v>
      </c>
      <c r="C18" s="24"/>
      <c r="D18" s="25">
        <f t="shared" si="4"/>
        <v>181077.46402853882</v>
      </c>
      <c r="E18" s="25">
        <f t="shared" si="6"/>
        <v>1810.7746402853882</v>
      </c>
      <c r="F18" s="25">
        <f t="shared" si="6"/>
        <v>90.538732014269414</v>
      </c>
      <c r="G18" s="25">
        <f>+'Example 2 Assumptions '!E40</f>
        <v>10322.201603595</v>
      </c>
      <c r="H18" s="25">
        <f t="shared" ref="H18" si="13">+G18*H$8</f>
        <v>1032.2201603595001</v>
      </c>
      <c r="I18" s="25">
        <f t="shared" si="8"/>
        <v>9289.9814432354997</v>
      </c>
      <c r="J18" s="25">
        <f t="shared" si="1"/>
        <v>10278.199673878949</v>
      </c>
      <c r="L18" s="5">
        <f t="shared" si="5"/>
        <v>9612.5</v>
      </c>
      <c r="M18" s="5">
        <f t="shared" si="2"/>
        <v>612.5</v>
      </c>
      <c r="N18" s="5">
        <f t="shared" si="0"/>
        <v>9000</v>
      </c>
      <c r="O18" s="5">
        <f t="shared" si="3"/>
        <v>138000</v>
      </c>
    </row>
    <row r="19" spans="1:26" x14ac:dyDescent="0.25">
      <c r="B19" s="24">
        <v>44255</v>
      </c>
      <c r="C19" s="24"/>
      <c r="D19" s="25">
        <f t="shared" si="4"/>
        <v>172566.0370652292</v>
      </c>
      <c r="E19" s="25">
        <f t="shared" si="6"/>
        <v>1725.6603706522922</v>
      </c>
      <c r="F19" s="25">
        <f t="shared" si="6"/>
        <v>86.283018532614619</v>
      </c>
      <c r="G19" s="25">
        <f>+'Example 2 Assumptions '!E41</f>
        <v>9951.5407278295443</v>
      </c>
      <c r="H19" s="25">
        <f t="shared" ref="H19" si="14">+G19*H$8</f>
        <v>995.15407278295447</v>
      </c>
      <c r="I19" s="25">
        <f t="shared" si="8"/>
        <v>8956.38665504659</v>
      </c>
      <c r="J19" s="25">
        <f t="shared" si="1"/>
        <v>9622.0863289255394</v>
      </c>
      <c r="L19" s="5">
        <f t="shared" si="5"/>
        <v>9575</v>
      </c>
      <c r="M19" s="5">
        <f t="shared" si="2"/>
        <v>575</v>
      </c>
      <c r="N19" s="5">
        <f t="shared" si="0"/>
        <v>9000</v>
      </c>
      <c r="O19" s="5">
        <f t="shared" si="3"/>
        <v>129000</v>
      </c>
    </row>
    <row r="20" spans="1:26" x14ac:dyDescent="0.25">
      <c r="B20" s="24">
        <v>44286</v>
      </c>
      <c r="C20" s="24"/>
      <c r="D20" s="25">
        <f t="shared" si="4"/>
        <v>164340.15670805197</v>
      </c>
      <c r="E20" s="25">
        <f t="shared" si="6"/>
        <v>1643.4015670805197</v>
      </c>
      <c r="F20" s="25">
        <f t="shared" si="6"/>
        <v>82.170078354025989</v>
      </c>
      <c r="G20" s="25">
        <f>+'Example 2 Assumptions '!E42</f>
        <v>10676.946077587079</v>
      </c>
      <c r="H20" s="25">
        <f t="shared" ref="H20" si="15">+G20*H$8</f>
        <v>1067.6946077587079</v>
      </c>
      <c r="I20" s="25">
        <f t="shared" si="8"/>
        <v>9609.2514698283721</v>
      </c>
      <c r="J20" s="25">
        <f t="shared" si="1"/>
        <v>9656.3377987539116</v>
      </c>
      <c r="L20" s="5">
        <f t="shared" si="5"/>
        <v>9537.5</v>
      </c>
      <c r="M20" s="5">
        <f t="shared" si="2"/>
        <v>537.5</v>
      </c>
      <c r="N20" s="5">
        <f t="shared" si="0"/>
        <v>9000</v>
      </c>
      <c r="O20" s="5">
        <f t="shared" si="3"/>
        <v>120000</v>
      </c>
    </row>
    <row r="21" spans="1:26" x14ac:dyDescent="0.25">
      <c r="B21" s="24">
        <v>44316</v>
      </c>
      <c r="C21" s="24"/>
      <c r="D21" s="25">
        <f t="shared" si="4"/>
        <v>155306.61219754542</v>
      </c>
      <c r="E21" s="25">
        <f t="shared" si="6"/>
        <v>1553.0661219754543</v>
      </c>
      <c r="F21" s="25">
        <f t="shared" si="6"/>
        <v>77.653306098772717</v>
      </c>
      <c r="G21" s="25">
        <f>+'Example 2 Assumptions '!E43</f>
        <v>11167.962873637953</v>
      </c>
      <c r="H21" s="25">
        <f t="shared" ref="H21" si="16">+G21*H$8</f>
        <v>1116.7962873637953</v>
      </c>
      <c r="I21" s="25">
        <f t="shared" si="8"/>
        <v>10051.166586274157</v>
      </c>
      <c r="J21" s="25">
        <f t="shared" si="1"/>
        <v>10170.004385028069</v>
      </c>
      <c r="L21" s="5">
        <f t="shared" si="5"/>
        <v>9500</v>
      </c>
      <c r="M21" s="5">
        <f t="shared" si="2"/>
        <v>500</v>
      </c>
      <c r="N21" s="5">
        <f t="shared" si="0"/>
        <v>9000</v>
      </c>
      <c r="O21" s="5">
        <f t="shared" si="3"/>
        <v>111000</v>
      </c>
    </row>
    <row r="22" spans="1:26" x14ac:dyDescent="0.25">
      <c r="B22" s="24">
        <v>44347</v>
      </c>
      <c r="C22" s="24"/>
      <c r="D22" s="25">
        <f t="shared" si="4"/>
        <v>145691.71544588293</v>
      </c>
      <c r="E22" s="25">
        <f t="shared" si="6"/>
        <v>1456.9171544588294</v>
      </c>
      <c r="F22" s="25">
        <f t="shared" si="6"/>
        <v>72.845857722941474</v>
      </c>
      <c r="G22" s="25">
        <f>+'Example 2 Assumptions '!E44</f>
        <v>10853.995615492282</v>
      </c>
      <c r="H22" s="25">
        <f t="shared" ref="H22" si="17">+G22*H$8</f>
        <v>1085.3995615492283</v>
      </c>
      <c r="I22" s="25">
        <f t="shared" si="8"/>
        <v>9768.5960539430544</v>
      </c>
      <c r="J22" s="25">
        <f t="shared" si="1"/>
        <v>10438.600438971123</v>
      </c>
      <c r="L22" s="5">
        <f t="shared" si="5"/>
        <v>9462.5</v>
      </c>
      <c r="M22" s="5">
        <f t="shared" si="2"/>
        <v>462.5</v>
      </c>
      <c r="N22" s="5">
        <f t="shared" si="0"/>
        <v>9000</v>
      </c>
      <c r="O22" s="5">
        <f t="shared" si="3"/>
        <v>102000</v>
      </c>
    </row>
    <row r="23" spans="1:26" x14ac:dyDescent="0.25">
      <c r="A23" s="30" t="s">
        <v>77</v>
      </c>
      <c r="B23" s="2">
        <v>44377</v>
      </c>
      <c r="C23" s="24"/>
      <c r="D23" s="7">
        <f t="shared" si="4"/>
        <v>136294.63698484947</v>
      </c>
      <c r="E23" s="7">
        <f>+D23*E$8</f>
        <v>1362.9463698484947</v>
      </c>
      <c r="F23" s="7">
        <f>+E23*F$8</f>
        <v>68.147318492424731</v>
      </c>
      <c r="G23" s="7">
        <f>+'Example 2 Assumptions '!E45</f>
        <v>11417.727360089304</v>
      </c>
      <c r="H23" s="7">
        <f>+G23*H$8</f>
        <v>1141.7727360089305</v>
      </c>
      <c r="I23" s="7">
        <f>+G23-H23</f>
        <v>10275.954624080374</v>
      </c>
      <c r="J23" s="7">
        <f t="shared" si="1"/>
        <v>11252.055063051497</v>
      </c>
      <c r="L23" s="7">
        <f t="shared" si="5"/>
        <v>10425</v>
      </c>
      <c r="M23" s="7">
        <f t="shared" si="2"/>
        <v>425</v>
      </c>
      <c r="N23" s="7">
        <f t="shared" si="0"/>
        <v>10000</v>
      </c>
      <c r="O23" s="7">
        <f t="shared" si="3"/>
        <v>92000</v>
      </c>
      <c r="Q23" s="7">
        <f>SUM(E12:E23)</f>
        <v>21530.321620221392</v>
      </c>
      <c r="R23" s="7">
        <f>SUM(F12:F23)</f>
        <v>1076.5160810110697</v>
      </c>
      <c r="S23" s="32">
        <f>SUM(G12:G23)</f>
        <v>106348.13552561279</v>
      </c>
      <c r="T23" s="32">
        <f>+S23-SUM(I12:I23)</f>
        <v>10634.813552561289</v>
      </c>
      <c r="U23" s="32">
        <f>+S23-T23</f>
        <v>95713.321973051497</v>
      </c>
      <c r="V23" s="32"/>
      <c r="W23" s="7">
        <f>SUM(M12:M23)</f>
        <v>7291.67</v>
      </c>
      <c r="X23" s="7">
        <f>SUM(N12:N23)</f>
        <v>88000</v>
      </c>
      <c r="Y23" s="7">
        <f>SUM(W23:X23)</f>
        <v>95291.67</v>
      </c>
      <c r="Z23" s="48">
        <f>+W23+X23-Y23</f>
        <v>0</v>
      </c>
    </row>
    <row r="24" spans="1:26" x14ac:dyDescent="0.25">
      <c r="B24" s="24">
        <v>44408</v>
      </c>
      <c r="C24" s="24"/>
      <c r="D24" s="25">
        <f t="shared" si="4"/>
        <v>126239.85599460866</v>
      </c>
      <c r="E24" s="25">
        <f>+D24*E$8</f>
        <v>1262.3985599460866</v>
      </c>
      <c r="F24" s="25">
        <f>+E24*F$8</f>
        <v>63.11992799730433</v>
      </c>
      <c r="G24" s="25">
        <f>+'Example 2 Assumptions '!E46</f>
        <v>11672.381877289965</v>
      </c>
      <c r="H24" s="25">
        <f>+G24*H$8</f>
        <v>1167.2381877289965</v>
      </c>
      <c r="I24" s="25">
        <f t="shared" ref="I24:I32" si="18">+G24-H24</f>
        <v>10505.143689560968</v>
      </c>
      <c r="J24" s="25">
        <f t="shared" si="1"/>
        <v>11332.198752612465</v>
      </c>
      <c r="L24" s="5">
        <f t="shared" si="5"/>
        <v>10383.33</v>
      </c>
      <c r="M24" s="5">
        <f t="shared" si="2"/>
        <v>383.33</v>
      </c>
      <c r="N24" s="5">
        <f t="shared" si="0"/>
        <v>10000</v>
      </c>
      <c r="O24" s="5">
        <f t="shared" si="3"/>
        <v>82000</v>
      </c>
    </row>
    <row r="25" spans="1:26" x14ac:dyDescent="0.25">
      <c r="B25" s="24">
        <v>44439</v>
      </c>
      <c r="C25" s="24"/>
      <c r="D25" s="25">
        <f t="shared" si="4"/>
        <v>115829.87267726478</v>
      </c>
      <c r="E25" s="25">
        <f t="shared" ref="E25:F46" si="19">+D25*E$8</f>
        <v>1158.2987267726478</v>
      </c>
      <c r="F25" s="25">
        <f t="shared" si="19"/>
        <v>57.914936338632394</v>
      </c>
      <c r="G25" s="25">
        <f>+'Example 2 Assumptions '!E47</f>
        <v>11415.053108332208</v>
      </c>
      <c r="H25" s="25">
        <f t="shared" ref="H25" si="20">+G25*H$8</f>
        <v>1141.5053108332208</v>
      </c>
      <c r="I25" s="25">
        <f t="shared" si="18"/>
        <v>10273.547797498986</v>
      </c>
      <c r="J25" s="25">
        <f t="shared" si="1"/>
        <v>11222.416550111451</v>
      </c>
      <c r="L25" s="5">
        <f t="shared" si="5"/>
        <v>10341.67</v>
      </c>
      <c r="M25" s="5">
        <f t="shared" si="2"/>
        <v>341.67</v>
      </c>
      <c r="N25" s="5">
        <f t="shared" si="0"/>
        <v>10000</v>
      </c>
      <c r="O25" s="5">
        <f t="shared" si="3"/>
        <v>72000</v>
      </c>
    </row>
    <row r="26" spans="1:26" x14ac:dyDescent="0.25">
      <c r="B26" s="24">
        <v>44469</v>
      </c>
      <c r="C26" s="24"/>
      <c r="D26" s="25">
        <f t="shared" si="4"/>
        <v>105573.11829570521</v>
      </c>
      <c r="E26" s="25">
        <f t="shared" si="19"/>
        <v>1055.7311829570522</v>
      </c>
      <c r="F26" s="25">
        <f t="shared" si="19"/>
        <v>52.786559147852614</v>
      </c>
      <c r="G26" s="25">
        <f>+'Example 2 Assumptions '!E48</f>
        <v>12975.239350121885</v>
      </c>
      <c r="H26" s="25">
        <f t="shared" ref="H26" si="21">+G26*H$8</f>
        <v>1297.5239350121885</v>
      </c>
      <c r="I26" s="25">
        <f t="shared" si="18"/>
        <v>11677.715415109697</v>
      </c>
      <c r="J26" s="25">
        <f t="shared" si="1"/>
        <v>12558.461965221148</v>
      </c>
      <c r="L26" s="5">
        <f t="shared" si="5"/>
        <v>12300</v>
      </c>
      <c r="M26" s="5">
        <f t="shared" si="2"/>
        <v>300</v>
      </c>
      <c r="N26" s="5">
        <f t="shared" si="0"/>
        <v>12000</v>
      </c>
      <c r="O26" s="5">
        <f t="shared" si="3"/>
        <v>60000</v>
      </c>
    </row>
    <row r="27" spans="1:26" x14ac:dyDescent="0.25">
      <c r="B27" s="24">
        <v>44500</v>
      </c>
      <c r="C27" s="24"/>
      <c r="D27" s="25">
        <f t="shared" si="4"/>
        <v>93653.610128540371</v>
      </c>
      <c r="E27" s="25">
        <f t="shared" si="19"/>
        <v>936.53610128540367</v>
      </c>
      <c r="F27" s="25">
        <f t="shared" si="19"/>
        <v>46.826805064270189</v>
      </c>
      <c r="G27" s="25">
        <f>+'Example 2 Assumptions '!E49</f>
        <v>11539.234697949259</v>
      </c>
      <c r="H27" s="25">
        <f t="shared" ref="H27" si="22">+G27*H$8</f>
        <v>1153.9234697949259</v>
      </c>
      <c r="I27" s="25">
        <f t="shared" si="18"/>
        <v>10385.311228154333</v>
      </c>
      <c r="J27" s="25">
        <f t="shared" si="1"/>
        <v>10643.77319337548</v>
      </c>
      <c r="L27" s="5">
        <f t="shared" si="5"/>
        <v>10250</v>
      </c>
      <c r="M27" s="5">
        <f t="shared" si="2"/>
        <v>250</v>
      </c>
      <c r="N27" s="5">
        <f t="shared" si="0"/>
        <v>10000</v>
      </c>
      <c r="O27" s="5">
        <f t="shared" si="3"/>
        <v>50000</v>
      </c>
    </row>
    <row r="28" spans="1:26" x14ac:dyDescent="0.25">
      <c r="B28" s="24">
        <v>44530</v>
      </c>
      <c r="C28" s="24"/>
      <c r="D28" s="25">
        <f t="shared" si="4"/>
        <v>83050.911531876511</v>
      </c>
      <c r="E28" s="25">
        <f t="shared" si="19"/>
        <v>830.50911531876511</v>
      </c>
      <c r="F28" s="25">
        <f t="shared" si="19"/>
        <v>41.525455765938261</v>
      </c>
      <c r="G28" s="25">
        <f>+'Example 2 Assumptions '!E50</f>
        <v>8478.5086142127057</v>
      </c>
      <c r="H28" s="25">
        <f t="shared" ref="H28" si="23">+G28*H$8</f>
        <v>847.85086142127057</v>
      </c>
      <c r="I28" s="25">
        <f t="shared" si="18"/>
        <v>7630.6577527914351</v>
      </c>
      <c r="J28" s="25">
        <f t="shared" si="1"/>
        <v>8024.4309461669154</v>
      </c>
      <c r="L28" s="5">
        <f t="shared" si="5"/>
        <v>7208.33</v>
      </c>
      <c r="M28" s="5">
        <f t="shared" si="2"/>
        <v>208.33</v>
      </c>
      <c r="N28" s="5">
        <f t="shared" si="0"/>
        <v>7000</v>
      </c>
      <c r="O28" s="5">
        <f t="shared" si="3"/>
        <v>43000</v>
      </c>
    </row>
    <row r="29" spans="1:26" x14ac:dyDescent="0.25">
      <c r="B29" s="24">
        <v>44561</v>
      </c>
      <c r="C29" s="24"/>
      <c r="D29" s="25">
        <f t="shared" si="4"/>
        <v>75402.912032982567</v>
      </c>
      <c r="E29" s="25">
        <f t="shared" si="19"/>
        <v>754.02912032982567</v>
      </c>
      <c r="F29" s="25">
        <f t="shared" si="19"/>
        <v>37.701456016491285</v>
      </c>
      <c r="G29" s="25">
        <f>+'Example 2 Assumptions '!E51</f>
        <v>8308.2739820057086</v>
      </c>
      <c r="H29" s="25">
        <f t="shared" ref="H29" si="24">+G29*H$8</f>
        <v>830.82739820057088</v>
      </c>
      <c r="I29" s="25">
        <f t="shared" si="18"/>
        <v>7477.4465838051374</v>
      </c>
      <c r="J29" s="25">
        <f t="shared" si="1"/>
        <v>8293.5475299720529</v>
      </c>
      <c r="L29" s="5">
        <f t="shared" si="5"/>
        <v>8179.17</v>
      </c>
      <c r="M29" s="5">
        <f t="shared" si="2"/>
        <v>179.17</v>
      </c>
      <c r="N29" s="5">
        <f t="shared" si="0"/>
        <v>8000</v>
      </c>
      <c r="O29" s="5">
        <f t="shared" si="3"/>
        <v>35000</v>
      </c>
    </row>
    <row r="30" spans="1:26" x14ac:dyDescent="0.25">
      <c r="B30" s="24">
        <v>44592</v>
      </c>
      <c r="C30" s="24"/>
      <c r="D30" s="25">
        <f t="shared" si="4"/>
        <v>67848.66717130669</v>
      </c>
      <c r="E30" s="25">
        <f t="shared" si="19"/>
        <v>678.48667171306693</v>
      </c>
      <c r="F30" s="25">
        <f t="shared" si="19"/>
        <v>33.924333585653351</v>
      </c>
      <c r="G30" s="25">
        <f>+'Example 2 Assumptions '!E52</f>
        <v>7388.1896823829438</v>
      </c>
      <c r="H30" s="25">
        <f t="shared" ref="H30" si="25">+G30*H$8</f>
        <v>738.81896823829447</v>
      </c>
      <c r="I30" s="25">
        <f t="shared" si="18"/>
        <v>6649.3707141446494</v>
      </c>
      <c r="J30" s="25">
        <f t="shared" si="1"/>
        <v>6763.7482441167022</v>
      </c>
      <c r="L30" s="5">
        <f t="shared" si="5"/>
        <v>6145.83</v>
      </c>
      <c r="M30" s="5">
        <f t="shared" ref="M30:M35" si="26">ROUND(+O29*(+M$8/12),2)</f>
        <v>145.83000000000001</v>
      </c>
      <c r="N30" s="5">
        <f t="shared" si="0"/>
        <v>6000</v>
      </c>
      <c r="O30" s="5">
        <f t="shared" ref="O30:O35" si="27">+O29-N30</f>
        <v>29000</v>
      </c>
    </row>
    <row r="31" spans="1:26" x14ac:dyDescent="0.25">
      <c r="B31" s="24">
        <v>44620</v>
      </c>
      <c r="C31" s="24"/>
      <c r="D31" s="25">
        <f t="shared" si="4"/>
        <v>61138.96416063681</v>
      </c>
      <c r="E31" s="25">
        <f t="shared" si="19"/>
        <v>611.38964160636806</v>
      </c>
      <c r="F31" s="25">
        <f t="shared" si="19"/>
        <v>30.569482080318405</v>
      </c>
      <c r="G31" s="25">
        <f>+'Example 2 Assumptions '!E53</f>
        <v>5202.9122937588509</v>
      </c>
      <c r="H31" s="25">
        <f t="shared" ref="H31" si="28">+G31*H$8</f>
        <v>520.29122937588511</v>
      </c>
      <c r="I31" s="25">
        <f t="shared" si="18"/>
        <v>4682.6210643829654</v>
      </c>
      <c r="J31" s="25">
        <f t="shared" si="1"/>
        <v>5300.5393084996676</v>
      </c>
      <c r="L31" s="5">
        <f t="shared" si="5"/>
        <v>5120.83</v>
      </c>
      <c r="M31" s="5">
        <f t="shared" si="26"/>
        <v>120.83</v>
      </c>
      <c r="N31" s="5">
        <f t="shared" si="0"/>
        <v>5000</v>
      </c>
      <c r="O31" s="5">
        <f t="shared" si="27"/>
        <v>24000</v>
      </c>
    </row>
    <row r="32" spans="1:26" x14ac:dyDescent="0.25">
      <c r="B32" s="24">
        <v>44651</v>
      </c>
      <c r="C32" s="24"/>
      <c r="D32" s="25">
        <f t="shared" si="4"/>
        <v>56547.44150848432</v>
      </c>
      <c r="E32" s="25">
        <f t="shared" si="19"/>
        <v>565.47441508484326</v>
      </c>
      <c r="F32" s="25">
        <f t="shared" si="19"/>
        <v>28.273720754242163</v>
      </c>
      <c r="G32" s="25">
        <f>+'Example 2 Assumptions '!E54</f>
        <v>6679.3071164852108</v>
      </c>
      <c r="H32" s="25">
        <f t="shared" ref="H32" si="29">+G32*H$8</f>
        <v>667.93071164852108</v>
      </c>
      <c r="I32" s="25">
        <f t="shared" si="18"/>
        <v>6011.3764048366902</v>
      </c>
      <c r="J32" s="25">
        <f t="shared" si="1"/>
        <v>6191.0857133363579</v>
      </c>
      <c r="L32" s="5">
        <f t="shared" si="5"/>
        <v>6100</v>
      </c>
      <c r="M32" s="5">
        <f t="shared" si="26"/>
        <v>100</v>
      </c>
      <c r="N32" s="5">
        <f t="shared" si="0"/>
        <v>6000</v>
      </c>
      <c r="O32" s="5">
        <f t="shared" si="27"/>
        <v>18000</v>
      </c>
    </row>
    <row r="33" spans="1:26" x14ac:dyDescent="0.25">
      <c r="B33" s="24">
        <v>44681</v>
      </c>
      <c r="C33" s="24"/>
      <c r="D33" s="25">
        <f t="shared" si="4"/>
        <v>50433.608807083954</v>
      </c>
      <c r="E33" s="25">
        <f t="shared" si="19"/>
        <v>504.33608807083954</v>
      </c>
      <c r="F33" s="25">
        <f t="shared" si="19"/>
        <v>25.216804403541978</v>
      </c>
      <c r="G33" s="25">
        <f>+'Example 2 Assumptions '!E55</f>
        <v>7584.1250556811292</v>
      </c>
      <c r="H33" s="25">
        <f t="shared" ref="H33" si="30">+G33*H$8</f>
        <v>758.41250556811292</v>
      </c>
      <c r="I33" s="25">
        <f>+G33-H33</f>
        <v>6825.7125501130158</v>
      </c>
      <c r="J33" s="25">
        <f t="shared" si="1"/>
        <v>6916.7982634493737</v>
      </c>
      <c r="L33" s="5">
        <f>+M33+N33</f>
        <v>6075</v>
      </c>
      <c r="M33" s="5">
        <f t="shared" si="26"/>
        <v>75</v>
      </c>
      <c r="N33" s="5">
        <f t="shared" si="0"/>
        <v>6000</v>
      </c>
      <c r="O33" s="5">
        <f t="shared" si="27"/>
        <v>12000</v>
      </c>
      <c r="P33" s="62"/>
      <c r="Q33" s="25"/>
      <c r="R33" s="25"/>
      <c r="S33" s="25"/>
      <c r="T33" s="25"/>
      <c r="U33" s="25"/>
      <c r="V33" s="25"/>
      <c r="W33" s="25"/>
      <c r="X33" s="25"/>
      <c r="Y33" s="25"/>
    </row>
    <row r="34" spans="1:26" x14ac:dyDescent="0.25">
      <c r="B34" s="24">
        <v>44712</v>
      </c>
      <c r="C34" s="24"/>
      <c r="D34" s="25">
        <f t="shared" si="4"/>
        <v>43353.819839473668</v>
      </c>
      <c r="E34" s="25">
        <f t="shared" si="19"/>
        <v>433.5381983947367</v>
      </c>
      <c r="F34" s="25">
        <f t="shared" si="19"/>
        <v>21.676909919736836</v>
      </c>
      <c r="G34" s="25">
        <f>+'Example 2 Assumptions '!E56</f>
        <v>6799.4544375813757</v>
      </c>
      <c r="H34" s="25">
        <f t="shared" ref="H34" si="31">+G34*H$8</f>
        <v>679.94544375813757</v>
      </c>
      <c r="I34" s="25">
        <f>+G34-H34</f>
        <v>6119.5089938232377</v>
      </c>
      <c r="J34" s="25">
        <f t="shared" si="1"/>
        <v>6961.3072572726114</v>
      </c>
      <c r="L34" s="5">
        <f>+M34+N34</f>
        <v>6050</v>
      </c>
      <c r="M34" s="5">
        <f t="shared" si="26"/>
        <v>50</v>
      </c>
      <c r="N34" s="5">
        <f t="shared" si="0"/>
        <v>6000</v>
      </c>
      <c r="O34" s="5">
        <f t="shared" si="27"/>
        <v>6000</v>
      </c>
      <c r="Q34" s="25"/>
      <c r="R34" s="25"/>
      <c r="S34" s="25"/>
      <c r="T34" s="25"/>
      <c r="U34" s="25"/>
      <c r="V34" s="25"/>
      <c r="W34" s="25"/>
      <c r="X34" s="25"/>
      <c r="Y34" s="25"/>
    </row>
    <row r="35" spans="1:26" x14ac:dyDescent="0.25">
      <c r="A35" s="30" t="s">
        <v>78</v>
      </c>
      <c r="B35" s="2">
        <v>44742</v>
      </c>
      <c r="C35" s="24"/>
      <c r="D35" s="7">
        <f t="shared" si="4"/>
        <v>36987.903600287027</v>
      </c>
      <c r="E35" s="7">
        <f>+D35*E$8</f>
        <v>369.87903600287029</v>
      </c>
      <c r="F35" s="7">
        <f>+E35*F$8</f>
        <v>18.493951800143517</v>
      </c>
      <c r="G35" s="7">
        <f>+'Example 2 Assumptions '!E57</f>
        <v>6026.8276335433429</v>
      </c>
      <c r="H35" s="7">
        <f>+G35*H$8</f>
        <v>602.68276335433427</v>
      </c>
      <c r="I35" s="7">
        <f>+G35-H35</f>
        <v>5424.1448701890085</v>
      </c>
      <c r="J35" s="7">
        <f t="shared" si="1"/>
        <v>6335.45212746162</v>
      </c>
      <c r="K35" s="7"/>
      <c r="L35" s="7">
        <f>+M35+N35</f>
        <v>6025</v>
      </c>
      <c r="M35" s="7">
        <f t="shared" si="26"/>
        <v>25</v>
      </c>
      <c r="N35" s="7">
        <f>+O34</f>
        <v>6000</v>
      </c>
      <c r="O35" s="7">
        <f t="shared" si="27"/>
        <v>0</v>
      </c>
      <c r="Q35" s="7">
        <f t="shared" ref="Q35:V35" si="32">SUM(E24:E35)</f>
        <v>9160.6068574825058</v>
      </c>
      <c r="R35" s="7">
        <f t="shared" si="32"/>
        <v>458.03034287412532</v>
      </c>
      <c r="S35" s="7">
        <f t="shared" si="32"/>
        <v>104069.50784934459</v>
      </c>
      <c r="T35" s="7">
        <f t="shared" si="32"/>
        <v>10406.950784934459</v>
      </c>
      <c r="U35" s="7">
        <f t="shared" si="32"/>
        <v>93662.557064410124</v>
      </c>
      <c r="V35" s="7">
        <f t="shared" si="32"/>
        <v>100543.75985159585</v>
      </c>
      <c r="W35" s="7">
        <f>SUM(M24:M35)</f>
        <v>2179.16</v>
      </c>
      <c r="X35" s="7">
        <f>SUM(N24:N35)</f>
        <v>92000</v>
      </c>
      <c r="Y35" s="7">
        <f>SUM(L24:L35)</f>
        <v>94179.16</v>
      </c>
      <c r="Z35" s="48">
        <f>+W35+X35-Y35</f>
        <v>0</v>
      </c>
    </row>
    <row r="36" spans="1:26" x14ac:dyDescent="0.25">
      <c r="B36" s="24">
        <v>44773</v>
      </c>
      <c r="C36" s="24"/>
      <c r="D36" s="25">
        <f t="shared" si="4"/>
        <v>31330.955002746556</v>
      </c>
      <c r="E36" s="25">
        <f t="shared" si="19"/>
        <v>313.30955002746555</v>
      </c>
      <c r="F36" s="25">
        <f t="shared" si="19"/>
        <v>15.665477501373278</v>
      </c>
      <c r="G36" s="25">
        <f>+'Example 2 Assumptions '!E58</f>
        <v>3793.8057465395327</v>
      </c>
      <c r="H36" s="25">
        <f t="shared" ref="H36" si="33">+G36*H$8</f>
        <v>379.38057465395332</v>
      </c>
      <c r="I36" s="25"/>
      <c r="J36" s="25"/>
      <c r="U36" s="5">
        <f>+T35+U35-S35</f>
        <v>0</v>
      </c>
      <c r="W36" s="5">
        <f>SUM(W10:W35)</f>
        <v>11033.33</v>
      </c>
      <c r="X36" s="5">
        <f>SUM(X10:X35)</f>
        <v>190000</v>
      </c>
      <c r="Y36" s="5">
        <f>SUM(Y10:Y35)</f>
        <v>201033.33000000002</v>
      </c>
    </row>
    <row r="37" spans="1:26" x14ac:dyDescent="0.25">
      <c r="B37" s="24">
        <v>44804</v>
      </c>
      <c r="C37" s="24"/>
      <c r="D37" s="25">
        <f t="shared" si="4"/>
        <v>27850.458806234488</v>
      </c>
      <c r="E37" s="25">
        <f t="shared" si="19"/>
        <v>278.50458806234491</v>
      </c>
      <c r="F37" s="25">
        <f t="shared" si="19"/>
        <v>13.925229403117246</v>
      </c>
      <c r="G37" s="25">
        <f>+'Example 2 Assumptions '!E59</f>
        <v>3038.9692238659777</v>
      </c>
      <c r="H37" s="25">
        <f t="shared" ref="H37" si="34">+G37*H$8</f>
        <v>303.89692238659779</v>
      </c>
      <c r="I37" s="33"/>
      <c r="J37" s="25"/>
    </row>
    <row r="38" spans="1:26" s="5" customFormat="1" x14ac:dyDescent="0.25">
      <c r="A38"/>
      <c r="B38" s="24">
        <v>44834</v>
      </c>
      <c r="C38" s="24"/>
      <c r="D38" s="25">
        <f t="shared" si="4"/>
        <v>25089.994170430855</v>
      </c>
      <c r="E38" s="25">
        <f t="shared" si="19"/>
        <v>250.89994170430856</v>
      </c>
      <c r="F38" s="25">
        <f t="shared" si="19"/>
        <v>12.544997085215428</v>
      </c>
      <c r="G38" s="25">
        <f>+'Example 2 Assumptions '!E60</f>
        <v>1401.2290703955953</v>
      </c>
      <c r="H38" s="25">
        <f t="shared" ref="H38" si="35">+G38*H$8</f>
        <v>140.12290703955952</v>
      </c>
      <c r="I38" s="33"/>
      <c r="J38" s="25"/>
      <c r="K38" s="25"/>
      <c r="P38" s="25"/>
    </row>
    <row r="39" spans="1:26" s="5" customFormat="1" x14ac:dyDescent="0.25">
      <c r="A39"/>
      <c r="B39" s="24">
        <v>44865</v>
      </c>
      <c r="C39" s="24"/>
      <c r="D39" s="25">
        <f t="shared" si="4"/>
        <v>23939.665041739569</v>
      </c>
      <c r="E39" s="25">
        <f t="shared" si="19"/>
        <v>239.39665041739568</v>
      </c>
      <c r="F39" s="25">
        <f t="shared" si="19"/>
        <v>11.969832520869785</v>
      </c>
      <c r="G39" s="25">
        <f>+'Example 2 Assumptions '!E61</f>
        <v>1107.43</v>
      </c>
      <c r="H39" s="25">
        <f t="shared" ref="H39" si="36">+G39*H$8</f>
        <v>110.74300000000001</v>
      </c>
      <c r="I39" s="33"/>
      <c r="J39" s="25"/>
      <c r="K39" s="25"/>
      <c r="P39" s="25"/>
    </row>
    <row r="40" spans="1:26" s="5" customFormat="1" x14ac:dyDescent="0.25">
      <c r="A40"/>
      <c r="B40" s="24">
        <v>44895</v>
      </c>
      <c r="C40" s="24"/>
      <c r="D40" s="25">
        <f t="shared" si="4"/>
        <v>23071.631692156963</v>
      </c>
      <c r="E40" s="25">
        <f t="shared" si="19"/>
        <v>230.71631692156964</v>
      </c>
      <c r="F40" s="25">
        <f t="shared" si="19"/>
        <v>11.535815846078483</v>
      </c>
      <c r="G40" s="25">
        <f>+'Example 2 Assumptions '!E62</f>
        <v>1497.4601449348584</v>
      </c>
      <c r="H40" s="25">
        <f t="shared" ref="H40" si="37">+G40*H$8</f>
        <v>149.74601449348583</v>
      </c>
      <c r="I40" s="33"/>
      <c r="J40" s="25"/>
      <c r="K40" s="25"/>
      <c r="P40" s="25"/>
    </row>
    <row r="41" spans="1:26" x14ac:dyDescent="0.25">
      <c r="B41" s="24">
        <v>44926</v>
      </c>
      <c r="C41" s="24"/>
      <c r="D41" s="25">
        <f t="shared" si="4"/>
        <v>21804.887864143675</v>
      </c>
      <c r="E41" s="25">
        <f t="shared" si="19"/>
        <v>218.04887864143674</v>
      </c>
      <c r="F41" s="25">
        <f t="shared" si="19"/>
        <v>10.902443932071838</v>
      </c>
      <c r="G41" s="25">
        <f>+'Example 2 Assumptions '!E63</f>
        <v>1220.56</v>
      </c>
      <c r="H41" s="25">
        <f t="shared" ref="H41" si="38">+G41*H$8</f>
        <v>122.056</v>
      </c>
      <c r="I41" s="33"/>
      <c r="J41" s="25"/>
    </row>
    <row r="42" spans="1:26" x14ac:dyDescent="0.25">
      <c r="B42" s="24">
        <v>44957</v>
      </c>
      <c r="C42" s="24"/>
      <c r="D42" s="25">
        <f t="shared" si="4"/>
        <v>20802.376742785109</v>
      </c>
      <c r="E42" s="25">
        <f t="shared" si="19"/>
        <v>208.02376742785108</v>
      </c>
      <c r="F42" s="25">
        <f t="shared" si="19"/>
        <v>10.401188371392555</v>
      </c>
      <c r="G42" s="25">
        <f>+'Example 2 Assumptions '!E64</f>
        <v>902.27</v>
      </c>
      <c r="H42" s="25">
        <f t="shared" ref="H42" si="39">+G42*H$8</f>
        <v>90.227000000000004</v>
      </c>
      <c r="I42" s="33"/>
      <c r="J42" s="25"/>
    </row>
    <row r="43" spans="1:26" x14ac:dyDescent="0.25">
      <c r="B43" s="24">
        <v>44985</v>
      </c>
      <c r="C43" s="24"/>
      <c r="D43" s="25">
        <f t="shared" si="4"/>
        <v>20108.130510212959</v>
      </c>
      <c r="E43" s="25">
        <f t="shared" si="19"/>
        <v>201.08130510212959</v>
      </c>
      <c r="F43" s="25">
        <f t="shared" si="19"/>
        <v>10.05406525510648</v>
      </c>
      <c r="G43" s="25">
        <f>+'Example 2 Assumptions '!E65</f>
        <v>0</v>
      </c>
      <c r="H43" s="25">
        <f t="shared" ref="H43" si="40">+G43*H$8</f>
        <v>0</v>
      </c>
      <c r="I43" s="33"/>
      <c r="J43" s="25"/>
    </row>
    <row r="44" spans="1:26" x14ac:dyDescent="0.25">
      <c r="B44" s="24">
        <v>45016</v>
      </c>
      <c r="C44" s="24"/>
      <c r="D44" s="25">
        <f t="shared" si="4"/>
        <v>20309.211815315088</v>
      </c>
      <c r="E44" s="25">
        <f t="shared" si="19"/>
        <v>203.09211815315089</v>
      </c>
      <c r="F44" s="25">
        <f t="shared" si="19"/>
        <v>10.154605907657546</v>
      </c>
      <c r="G44" s="25">
        <f>+'Example 2 Assumptions '!E66</f>
        <v>0</v>
      </c>
      <c r="H44" s="25">
        <f t="shared" ref="H44" si="41">+G44*H$8</f>
        <v>0</v>
      </c>
      <c r="I44" s="33"/>
      <c r="J44" s="25"/>
    </row>
    <row r="45" spans="1:26" x14ac:dyDescent="0.25">
      <c r="B45" s="24">
        <f>'Example 2 Assumptions '!D67</f>
        <v>45046</v>
      </c>
      <c r="C45" s="24"/>
      <c r="D45" s="25">
        <f t="shared" si="4"/>
        <v>20512.30393346824</v>
      </c>
      <c r="E45" s="25">
        <f t="shared" si="19"/>
        <v>205.1230393346824</v>
      </c>
      <c r="F45" s="25">
        <f t="shared" si="19"/>
        <v>10.256151966734121</v>
      </c>
      <c r="G45" s="25">
        <f>+'Example 2 Assumptions '!E67</f>
        <v>865.61511407290652</v>
      </c>
      <c r="H45" s="25">
        <f t="shared" ref="H45" si="42">+G45*H$8</f>
        <v>86.561511407290652</v>
      </c>
      <c r="I45" s="33"/>
      <c r="J45" s="25"/>
    </row>
    <row r="46" spans="1:26" x14ac:dyDescent="0.25">
      <c r="B46" s="24">
        <f>'Example 2 Assumptions '!D68</f>
        <v>45077</v>
      </c>
      <c r="C46" s="24"/>
      <c r="D46" s="25">
        <f t="shared" si="4"/>
        <v>19851.811858730016</v>
      </c>
      <c r="E46" s="25">
        <f t="shared" si="19"/>
        <v>198.51811858730017</v>
      </c>
      <c r="F46" s="25">
        <f t="shared" si="19"/>
        <v>9.9259059293650083</v>
      </c>
      <c r="G46" s="31"/>
      <c r="H46" s="25">
        <f t="shared" ref="H46" si="43">+G46*H$8</f>
        <v>0</v>
      </c>
      <c r="I46" s="33"/>
      <c r="J46" s="25"/>
    </row>
    <row r="47" spans="1:26" x14ac:dyDescent="0.25">
      <c r="B47" s="2">
        <f>'Example 2 Assumptions '!D69</f>
        <v>45107</v>
      </c>
      <c r="C47" s="2"/>
      <c r="D47" s="7">
        <f t="shared" si="4"/>
        <v>20050.329977317317</v>
      </c>
      <c r="E47" s="7">
        <f>+D47*E$8</f>
        <v>200.50329977317318</v>
      </c>
      <c r="F47" s="7">
        <f>+E47*F$8</f>
        <v>10.025164988658659</v>
      </c>
      <c r="G47" s="32"/>
      <c r="H47" s="7">
        <f>+G47*H$8</f>
        <v>0</v>
      </c>
      <c r="I47" s="32"/>
      <c r="J47" s="7"/>
      <c r="L47" s="7"/>
      <c r="M47" s="7"/>
      <c r="N47" s="7"/>
      <c r="O47" s="7"/>
      <c r="Q47" s="7">
        <f>SUM(E36:E47)</f>
        <v>2747.2175741528081</v>
      </c>
      <c r="R47" s="7">
        <f>SUM(F36:F47)</f>
        <v>137.36087870764044</v>
      </c>
      <c r="S47" s="7">
        <f>SUM(G36:G47)</f>
        <v>13827.339299808871</v>
      </c>
      <c r="T47" s="119" t="s">
        <v>186</v>
      </c>
      <c r="U47" s="7">
        <f>+S47</f>
        <v>13827.339299808871</v>
      </c>
      <c r="V47" s="32"/>
      <c r="W47" s="7">
        <f>SUM(M36:M47)</f>
        <v>0</v>
      </c>
      <c r="X47" s="7">
        <f>SUM(N36:N47)</f>
        <v>0</v>
      </c>
      <c r="Y47" s="7">
        <f>SUM(W47:X47)</f>
        <v>0</v>
      </c>
    </row>
    <row r="48" spans="1:26" x14ac:dyDescent="0.25">
      <c r="B48" s="24"/>
      <c r="C48" s="24"/>
      <c r="D48" s="25"/>
      <c r="E48" s="25"/>
      <c r="F48" s="25"/>
      <c r="G48" s="31"/>
      <c r="H48" s="31"/>
      <c r="I48" s="33"/>
      <c r="J48" s="25"/>
    </row>
    <row r="49" spans="2:10" x14ac:dyDescent="0.25">
      <c r="B49" s="24"/>
      <c r="C49" s="24"/>
      <c r="D49" s="24"/>
      <c r="E49" s="24"/>
      <c r="F49" s="24"/>
      <c r="G49" s="31"/>
      <c r="H49" s="31"/>
      <c r="I49" s="33"/>
      <c r="J49" s="25"/>
    </row>
    <row r="50" spans="2:10" x14ac:dyDescent="0.25">
      <c r="B50" s="24"/>
      <c r="C50" s="24"/>
      <c r="D50" s="24"/>
      <c r="E50" s="24"/>
      <c r="F50" s="24"/>
      <c r="G50" s="31"/>
      <c r="H50" s="31"/>
      <c r="I50" s="33"/>
      <c r="J50" s="25"/>
    </row>
    <row r="51" spans="2:10" x14ac:dyDescent="0.25">
      <c r="B51" s="24"/>
      <c r="C51" s="24"/>
      <c r="D51" s="24"/>
      <c r="E51" s="24"/>
      <c r="F51" s="24"/>
      <c r="G51" s="31"/>
      <c r="H51" s="31"/>
      <c r="I51" s="33"/>
      <c r="J51" s="25"/>
    </row>
    <row r="52" spans="2:10" x14ac:dyDescent="0.25">
      <c r="B52" s="24"/>
      <c r="C52" s="24"/>
      <c r="D52" s="24"/>
      <c r="E52" s="24"/>
      <c r="F52" s="24"/>
      <c r="G52" s="31"/>
      <c r="H52" s="31"/>
      <c r="I52" s="33"/>
      <c r="J52" s="25"/>
    </row>
    <row r="53" spans="2:10" x14ac:dyDescent="0.25">
      <c r="B53" s="24"/>
      <c r="C53" s="24"/>
      <c r="D53" s="24"/>
      <c r="E53" s="24"/>
      <c r="F53" s="24"/>
      <c r="G53" s="31"/>
      <c r="H53" s="31"/>
      <c r="I53" s="33"/>
      <c r="J53" s="25"/>
    </row>
    <row r="54" spans="2:10" x14ac:dyDescent="0.25">
      <c r="B54" s="24"/>
      <c r="C54" s="24"/>
      <c r="D54" s="24"/>
      <c r="E54" s="24"/>
      <c r="F54" s="24"/>
      <c r="G54" s="31"/>
      <c r="H54" s="31"/>
      <c r="I54" s="33"/>
      <c r="J54" s="25"/>
    </row>
    <row r="55" spans="2:10" x14ac:dyDescent="0.25">
      <c r="B55" s="24"/>
      <c r="C55" s="24"/>
      <c r="D55" s="24"/>
      <c r="E55" s="24"/>
      <c r="F55" s="24"/>
      <c r="G55" s="31"/>
      <c r="H55" s="31"/>
      <c r="I55" s="33"/>
      <c r="J55" s="25"/>
    </row>
    <row r="56" spans="2:10" x14ac:dyDescent="0.25">
      <c r="B56" s="24"/>
      <c r="C56" s="24"/>
      <c r="D56" s="24"/>
      <c r="E56" s="24"/>
      <c r="F56" s="24"/>
      <c r="G56" s="31"/>
      <c r="H56" s="31"/>
      <c r="I56" s="33"/>
      <c r="J56" s="25"/>
    </row>
    <row r="57" spans="2:10" x14ac:dyDescent="0.25">
      <c r="B57" s="24"/>
      <c r="C57" s="24"/>
      <c r="D57" s="24"/>
      <c r="E57" s="24"/>
      <c r="F57" s="24"/>
      <c r="G57" s="31"/>
      <c r="H57" s="31"/>
      <c r="I57" s="33"/>
      <c r="J57" s="25"/>
    </row>
    <row r="58" spans="2:10" x14ac:dyDescent="0.25">
      <c r="B58" s="24"/>
      <c r="C58" s="24"/>
      <c r="D58" s="24"/>
      <c r="E58" s="24"/>
      <c r="F58" s="24"/>
      <c r="G58" s="31"/>
      <c r="H58" s="31"/>
      <c r="I58" s="33"/>
      <c r="J58" s="25"/>
    </row>
    <row r="59" spans="2:10" x14ac:dyDescent="0.25">
      <c r="B59" s="24"/>
      <c r="C59" s="24"/>
      <c r="D59" s="24"/>
      <c r="E59" s="24"/>
      <c r="F59" s="24"/>
      <c r="G59" s="31"/>
      <c r="H59" s="31"/>
      <c r="I59" s="33"/>
      <c r="J59" s="25"/>
    </row>
    <row r="60" spans="2:10" x14ac:dyDescent="0.25">
      <c r="B60" s="24"/>
      <c r="C60" s="24"/>
      <c r="D60" s="24"/>
      <c r="E60" s="24"/>
      <c r="F60" s="24"/>
      <c r="G60" s="31"/>
      <c r="H60" s="31"/>
      <c r="I60" s="33"/>
      <c r="J60" s="25"/>
    </row>
    <row r="61" spans="2:10" x14ac:dyDescent="0.25">
      <c r="B61" s="24"/>
      <c r="C61" s="24"/>
      <c r="D61" s="24"/>
      <c r="E61" s="24"/>
      <c r="F61" s="24"/>
      <c r="G61" s="31"/>
      <c r="H61" s="31"/>
      <c r="I61" s="33"/>
      <c r="J61" s="25"/>
    </row>
    <row r="62" spans="2:10" x14ac:dyDescent="0.25">
      <c r="B62" s="24"/>
      <c r="C62" s="24"/>
      <c r="D62" s="24"/>
      <c r="E62" s="24"/>
      <c r="F62" s="24"/>
      <c r="G62" s="31"/>
      <c r="H62" s="31"/>
      <c r="I62" s="33"/>
      <c r="J62" s="25"/>
    </row>
    <row r="63" spans="2:10" x14ac:dyDescent="0.25">
      <c r="B63" s="24"/>
      <c r="C63" s="24"/>
      <c r="D63" s="24"/>
      <c r="E63" s="24"/>
      <c r="F63" s="24"/>
      <c r="G63" s="31"/>
      <c r="H63" s="31"/>
      <c r="I63" s="33"/>
      <c r="J63" s="25"/>
    </row>
    <row r="64" spans="2:10" x14ac:dyDescent="0.25">
      <c r="B64" s="24"/>
      <c r="C64" s="24"/>
      <c r="D64" s="24"/>
      <c r="E64" s="24"/>
      <c r="F64" s="24"/>
      <c r="G64" s="31"/>
      <c r="H64" s="31"/>
      <c r="I64" s="33"/>
      <c r="J64" s="25"/>
    </row>
    <row r="65" spans="2:10" x14ac:dyDescent="0.25">
      <c r="B65" s="24"/>
      <c r="C65" s="24"/>
      <c r="D65" s="24"/>
      <c r="E65" s="24"/>
      <c r="F65" s="24"/>
      <c r="G65" s="31"/>
      <c r="H65" s="31"/>
      <c r="I65" s="33"/>
      <c r="J65" s="25"/>
    </row>
    <row r="66" spans="2:10" x14ac:dyDescent="0.25">
      <c r="B66" s="24"/>
      <c r="C66" s="24"/>
      <c r="D66" s="24"/>
      <c r="E66" s="24"/>
      <c r="F66" s="24"/>
      <c r="G66" s="31"/>
      <c r="H66" s="31"/>
      <c r="I66" s="33"/>
      <c r="J66" s="25"/>
    </row>
    <row r="67" spans="2:10" x14ac:dyDescent="0.25">
      <c r="B67" s="24"/>
      <c r="C67" s="24"/>
      <c r="D67" s="24"/>
      <c r="E67" s="24"/>
      <c r="F67" s="24"/>
      <c r="G67" s="31"/>
      <c r="H67" s="31"/>
      <c r="I67" s="33"/>
      <c r="J67" s="25"/>
    </row>
    <row r="68" spans="2:10" x14ac:dyDescent="0.25">
      <c r="B68" s="24"/>
      <c r="C68" s="24"/>
      <c r="D68" s="24"/>
      <c r="E68" s="24"/>
      <c r="F68" s="24"/>
      <c r="G68" s="31"/>
      <c r="H68" s="31"/>
      <c r="I68" s="33"/>
      <c r="J68" s="25"/>
    </row>
    <row r="69" spans="2:10" x14ac:dyDescent="0.25">
      <c r="B69" s="24"/>
      <c r="C69" s="24"/>
      <c r="D69" s="24"/>
      <c r="E69" s="24"/>
      <c r="F69" s="24"/>
      <c r="G69" s="31"/>
      <c r="H69" s="31"/>
      <c r="I69" s="33"/>
      <c r="J69" s="25"/>
    </row>
    <row r="70" spans="2:10" x14ac:dyDescent="0.25">
      <c r="G70" s="31"/>
      <c r="H70" s="31"/>
      <c r="I70" s="33"/>
      <c r="J70" s="25"/>
    </row>
    <row r="71" spans="2:10" x14ac:dyDescent="0.25">
      <c r="G71" s="31"/>
      <c r="H71" s="31"/>
      <c r="I71" s="33"/>
      <c r="J71" s="25"/>
    </row>
    <row r="72" spans="2:10" x14ac:dyDescent="0.25">
      <c r="I72" s="25"/>
      <c r="J72" s="25"/>
    </row>
  </sheetData>
  <mergeCells count="18">
    <mergeCell ref="U7:U8"/>
    <mergeCell ref="D7:D8"/>
    <mergeCell ref="D6:J6"/>
    <mergeCell ref="L6:O6"/>
    <mergeCell ref="Q6:Y6"/>
    <mergeCell ref="Y7:Y8"/>
    <mergeCell ref="J7:J8"/>
    <mergeCell ref="G7:G8"/>
    <mergeCell ref="L7:L8"/>
    <mergeCell ref="N7:N8"/>
    <mergeCell ref="O7:O8"/>
    <mergeCell ref="W7:W8"/>
    <mergeCell ref="X7:X8"/>
    <mergeCell ref="I7:I8"/>
    <mergeCell ref="S7:S8"/>
    <mergeCell ref="T7:T8"/>
    <mergeCell ref="R7:R8"/>
    <mergeCell ref="Q7:Q8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3"/>
  <sheetViews>
    <sheetView workbookViewId="0"/>
    <sheetView workbookViewId="1"/>
  </sheetViews>
  <sheetFormatPr defaultColWidth="9" defaultRowHeight="15" x14ac:dyDescent="0.25"/>
  <cols>
    <col min="1" max="2" width="5.42578125" customWidth="1"/>
    <col min="3" max="3" width="42.42578125" customWidth="1"/>
    <col min="4" max="5" width="10.85546875" style="106" bestFit="1" customWidth="1"/>
    <col min="6" max="6" width="3.85546875" customWidth="1"/>
    <col min="7" max="7" width="5.7109375" customWidth="1"/>
    <col min="8" max="8" width="50.28515625" customWidth="1"/>
    <col min="9" max="10" width="10.85546875" style="106" bestFit="1" customWidth="1"/>
    <col min="11" max="11" width="4.28515625" customWidth="1"/>
    <col min="12" max="12" width="5.5703125" customWidth="1"/>
    <col min="13" max="13" width="38.85546875" customWidth="1"/>
    <col min="14" max="15" width="10.85546875" style="106" bestFit="1" customWidth="1"/>
  </cols>
  <sheetData>
    <row r="1" spans="1:15" ht="14.65" customHeight="1" x14ac:dyDescent="0.25">
      <c r="A1" s="176" t="s">
        <v>71</v>
      </c>
      <c r="B1" s="175"/>
      <c r="C1" s="175"/>
      <c r="D1" s="174" t="s">
        <v>348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5" x14ac:dyDescent="0.25">
      <c r="A2" s="46" t="s">
        <v>66</v>
      </c>
    </row>
    <row r="3" spans="1:15" x14ac:dyDescent="0.25">
      <c r="D3" s="16"/>
      <c r="E3" s="16"/>
      <c r="I3" s="16"/>
      <c r="J3" s="16"/>
      <c r="N3" s="16"/>
      <c r="O3" s="16"/>
    </row>
    <row r="4" spans="1:15" x14ac:dyDescent="0.25">
      <c r="A4" s="258" t="s">
        <v>10</v>
      </c>
      <c r="B4" s="259"/>
      <c r="C4" s="259"/>
      <c r="D4" s="259"/>
      <c r="E4" s="260"/>
      <c r="G4" s="261" t="s">
        <v>13</v>
      </c>
      <c r="H4" s="261"/>
      <c r="I4" s="261" t="s">
        <v>8</v>
      </c>
      <c r="J4" s="261" t="s">
        <v>9</v>
      </c>
      <c r="L4" s="258" t="s">
        <v>324</v>
      </c>
      <c r="M4" s="259"/>
      <c r="N4" s="259" t="s">
        <v>8</v>
      </c>
      <c r="O4" s="260" t="s">
        <v>9</v>
      </c>
    </row>
    <row r="5" spans="1:15" x14ac:dyDescent="0.25">
      <c r="A5" s="46">
        <v>2020</v>
      </c>
      <c r="B5" s="249"/>
      <c r="C5" s="249"/>
      <c r="D5" s="35" t="s">
        <v>8</v>
      </c>
      <c r="E5" s="35" t="s">
        <v>9</v>
      </c>
      <c r="G5" s="249"/>
      <c r="H5" s="249"/>
      <c r="I5" s="35" t="s">
        <v>8</v>
      </c>
      <c r="J5" s="35" t="s">
        <v>9</v>
      </c>
      <c r="L5" s="249"/>
      <c r="M5" s="249"/>
      <c r="N5" s="35" t="s">
        <v>8</v>
      </c>
      <c r="O5" s="35" t="s">
        <v>9</v>
      </c>
    </row>
    <row r="6" spans="1:15" ht="14.65" customHeight="1" x14ac:dyDescent="0.25">
      <c r="A6" s="257">
        <v>43952</v>
      </c>
      <c r="B6" s="257"/>
      <c r="C6" s="257"/>
      <c r="D6" s="18"/>
      <c r="E6" s="18"/>
      <c r="I6"/>
      <c r="J6"/>
      <c r="L6" s="250"/>
      <c r="M6" s="250"/>
      <c r="N6" s="18"/>
      <c r="O6" s="18"/>
    </row>
    <row r="7" spans="1:15" ht="14.25" customHeight="1" x14ac:dyDescent="0.25">
      <c r="B7" s="8" t="s">
        <v>11</v>
      </c>
      <c r="C7" s="8"/>
      <c r="D7" s="14">
        <f>+'Ex. 2 Entries - Corp'!E18</f>
        <v>185000</v>
      </c>
      <c r="E7" s="14"/>
      <c r="G7" s="262" t="s">
        <v>125</v>
      </c>
      <c r="H7" s="262"/>
      <c r="I7" s="18">
        <f>+E13</f>
        <v>150000</v>
      </c>
      <c r="J7" s="18"/>
      <c r="L7" s="8" t="s">
        <v>11</v>
      </c>
      <c r="M7" s="8"/>
      <c r="N7" s="34">
        <f>+D7</f>
        <v>185000</v>
      </c>
      <c r="O7" s="14"/>
    </row>
    <row r="8" spans="1:15" ht="14.65" customHeight="1" x14ac:dyDescent="0.25">
      <c r="B8" s="12" t="s">
        <v>23</v>
      </c>
      <c r="C8" s="12"/>
      <c r="D8" s="14">
        <v>10000</v>
      </c>
      <c r="E8" s="14"/>
      <c r="G8" s="11" t="s">
        <v>150</v>
      </c>
      <c r="I8" s="18">
        <f>+J9</f>
        <v>5000</v>
      </c>
      <c r="J8" s="18"/>
      <c r="L8" t="str">
        <f>+B8</f>
        <v>Allowance for doubtful accounts</v>
      </c>
      <c r="N8" s="106">
        <f>+D8</f>
        <v>10000</v>
      </c>
    </row>
    <row r="9" spans="1:15" ht="14.65" customHeight="1" x14ac:dyDescent="0.25">
      <c r="B9" s="12" t="s">
        <v>129</v>
      </c>
      <c r="C9" s="12"/>
      <c r="D9" s="14"/>
      <c r="E9" s="14"/>
      <c r="G9" s="11"/>
      <c r="H9" s="11" t="str">
        <f>+B12</f>
        <v>Expenditure - sale of property tax liens receivable</v>
      </c>
      <c r="I9" s="18"/>
      <c r="J9" s="18">
        <f>+D12</f>
        <v>5000</v>
      </c>
      <c r="L9" t="str">
        <f>+G8</f>
        <v>Loss on sale of property tax liens</v>
      </c>
      <c r="N9" s="106">
        <f>+I8</f>
        <v>5000</v>
      </c>
    </row>
    <row r="10" spans="1:15" ht="14.65" customHeight="1" x14ac:dyDescent="0.25">
      <c r="B10" s="12" t="s">
        <v>149</v>
      </c>
      <c r="C10" s="12"/>
      <c r="D10" s="14">
        <v>150000</v>
      </c>
      <c r="E10" s="14"/>
      <c r="H10" s="12" t="str">
        <f>+B9</f>
        <v xml:space="preserve">Deferred inflows of resources - </v>
      </c>
      <c r="I10" s="18"/>
      <c r="J10" s="18"/>
      <c r="L10" t="str">
        <f>+B11</f>
        <v>Beneficial interest in tax lien trust</v>
      </c>
      <c r="N10" s="106">
        <f>+D11</f>
        <v>15000</v>
      </c>
    </row>
    <row r="11" spans="1:15" ht="14.65" customHeight="1" x14ac:dyDescent="0.25">
      <c r="B11" s="12" t="s">
        <v>147</v>
      </c>
      <c r="C11" s="12"/>
      <c r="D11" s="14">
        <v>15000</v>
      </c>
      <c r="E11" s="14"/>
      <c r="G11" s="9"/>
      <c r="H11" s="11" t="str">
        <f>+B10</f>
        <v xml:space="preserve">    unavailable property tax revenue</v>
      </c>
      <c r="I11" s="18"/>
      <c r="J11" s="18">
        <f>+D10</f>
        <v>150000</v>
      </c>
      <c r="M11" s="12" t="s">
        <v>19</v>
      </c>
      <c r="N11" s="14"/>
      <c r="O11" s="14">
        <v>200000</v>
      </c>
    </row>
    <row r="12" spans="1:15" ht="14.65" customHeight="1" x14ac:dyDescent="0.25">
      <c r="B12" s="12" t="s">
        <v>148</v>
      </c>
      <c r="C12" s="12"/>
      <c r="D12" s="14">
        <f>SUM(E13:E15)-SUM(D7:D11)</f>
        <v>5000</v>
      </c>
      <c r="E12" s="14"/>
      <c r="G12" s="9"/>
      <c r="H12" s="8"/>
      <c r="I12" s="14"/>
      <c r="M12" s="12" t="s">
        <v>191</v>
      </c>
      <c r="N12" s="14"/>
      <c r="O12" s="14">
        <f>+E14</f>
        <v>15000</v>
      </c>
    </row>
    <row r="13" spans="1:15" ht="14.65" customHeight="1" x14ac:dyDescent="0.25">
      <c r="B13" s="12"/>
      <c r="C13" t="s">
        <v>125</v>
      </c>
      <c r="D13" s="19"/>
      <c r="E13" s="14">
        <f>+D10</f>
        <v>150000</v>
      </c>
      <c r="G13" s="9"/>
      <c r="I13"/>
      <c r="J13"/>
      <c r="L13" s="10" t="s">
        <v>202</v>
      </c>
      <c r="M13" s="8"/>
      <c r="N13" s="14"/>
      <c r="O13" s="14"/>
    </row>
    <row r="14" spans="1:15" ht="14.65" customHeight="1" x14ac:dyDescent="0.25">
      <c r="B14" s="12"/>
      <c r="C14" s="12" t="s">
        <v>153</v>
      </c>
      <c r="D14" s="14"/>
      <c r="E14" s="14">
        <f>+D11</f>
        <v>15000</v>
      </c>
      <c r="G14" s="9"/>
      <c r="H14" s="8"/>
      <c r="I14" s="14"/>
      <c r="L14" s="58" t="s">
        <v>203</v>
      </c>
      <c r="M14" s="8"/>
      <c r="N14" s="14"/>
      <c r="O14" s="14"/>
    </row>
    <row r="15" spans="1:15" ht="14.65" customHeight="1" x14ac:dyDescent="0.25">
      <c r="C15" t="s">
        <v>24</v>
      </c>
      <c r="D15" s="19"/>
      <c r="E15" s="14">
        <v>200000</v>
      </c>
      <c r="G15" s="243"/>
      <c r="H15" s="243"/>
      <c r="I15" s="14"/>
      <c r="J15" s="14"/>
      <c r="L15" s="58" t="s">
        <v>204</v>
      </c>
      <c r="N15" s="14"/>
      <c r="O15" s="14"/>
    </row>
    <row r="16" spans="1:15" ht="14.65" customHeight="1" x14ac:dyDescent="0.25">
      <c r="B16" s="10" t="s">
        <v>202</v>
      </c>
      <c r="C16" s="8"/>
      <c r="D16" s="19"/>
      <c r="E16" s="14"/>
      <c r="G16" s="44"/>
      <c r="H16" s="44"/>
      <c r="I16" s="14"/>
      <c r="J16" s="14"/>
      <c r="L16" s="58" t="s">
        <v>143</v>
      </c>
      <c r="N16" s="14"/>
      <c r="O16" s="14"/>
    </row>
    <row r="17" spans="1:16" ht="14.65" customHeight="1" x14ac:dyDescent="0.25">
      <c r="B17" s="58" t="s">
        <v>203</v>
      </c>
      <c r="C17" s="8"/>
      <c r="D17"/>
      <c r="E17"/>
      <c r="G17" s="44"/>
      <c r="H17" s="44"/>
      <c r="I17" s="14"/>
      <c r="J17" s="14"/>
      <c r="N17" s="14"/>
      <c r="O17" s="14"/>
    </row>
    <row r="18" spans="1:16" ht="14.65" customHeight="1" x14ac:dyDescent="0.25">
      <c r="B18" s="58" t="s">
        <v>346</v>
      </c>
      <c r="D18" s="19"/>
      <c r="E18" s="14"/>
      <c r="G18" s="44"/>
      <c r="H18" s="44"/>
      <c r="I18" s="14"/>
      <c r="J18" s="14"/>
      <c r="M18" s="8"/>
    </row>
    <row r="19" spans="1:16" x14ac:dyDescent="0.25">
      <c r="B19" s="58" t="s">
        <v>347</v>
      </c>
      <c r="D19" s="14"/>
      <c r="E19" s="14"/>
      <c r="G19" s="9"/>
      <c r="H19" s="8"/>
      <c r="I19" s="14"/>
      <c r="J19" s="14"/>
      <c r="N19" s="14"/>
      <c r="O19" s="14"/>
    </row>
    <row r="20" spans="1:16" x14ac:dyDescent="0.25">
      <c r="D20" s="14"/>
      <c r="E20" s="14"/>
      <c r="G20" s="9"/>
      <c r="H20" s="8"/>
      <c r="I20" s="14"/>
      <c r="J20" s="14"/>
      <c r="L20" s="58"/>
      <c r="M20" s="8"/>
      <c r="N20" s="14"/>
      <c r="O20" s="14"/>
    </row>
    <row r="22" spans="1:16" s="99" customFormat="1" x14ac:dyDescent="0.25">
      <c r="A22" s="95">
        <v>2021</v>
      </c>
      <c r="D22" s="120"/>
      <c r="E22" s="120"/>
      <c r="G22" s="96"/>
      <c r="H22" s="97"/>
      <c r="I22" s="98"/>
      <c r="J22" s="98"/>
      <c r="M22" s="104"/>
      <c r="N22" s="97"/>
      <c r="O22" s="98"/>
      <c r="P22" s="98"/>
    </row>
    <row r="23" spans="1:16" x14ac:dyDescent="0.25">
      <c r="B23" t="s">
        <v>112</v>
      </c>
    </row>
    <row r="24" spans="1:16" x14ac:dyDescent="0.25">
      <c r="G24" s="9"/>
      <c r="H24" s="8"/>
      <c r="I24" s="14"/>
      <c r="J24" s="14"/>
      <c r="L24" s="12"/>
      <c r="M24" s="12"/>
      <c r="N24" s="35"/>
      <c r="O24" s="35"/>
    </row>
    <row r="25" spans="1:16" s="99" customFormat="1" x14ac:dyDescent="0.25">
      <c r="A25" s="95">
        <v>2022</v>
      </c>
      <c r="D25" s="120"/>
      <c r="E25" s="120"/>
      <c r="G25" s="96"/>
      <c r="H25" s="97"/>
      <c r="I25" s="98"/>
      <c r="J25" s="98"/>
      <c r="M25" s="104"/>
      <c r="N25" s="97"/>
      <c r="O25" s="98"/>
      <c r="P25" s="98"/>
    </row>
    <row r="26" spans="1:16" x14ac:dyDescent="0.25">
      <c r="A26" s="257">
        <v>44742</v>
      </c>
      <c r="B26" s="257"/>
      <c r="C26" s="257"/>
      <c r="L26" s="12"/>
      <c r="M26" s="12"/>
      <c r="N26" s="14"/>
      <c r="O26" s="14"/>
    </row>
    <row r="27" spans="1:16" x14ac:dyDescent="0.25">
      <c r="A27" s="131"/>
      <c r="B27" s="131" t="s">
        <v>11</v>
      </c>
      <c r="C27" s="131"/>
      <c r="D27" s="106">
        <f>+'Ex. 2 Entries - Corp'!Q33</f>
        <v>310</v>
      </c>
      <c r="G27" t="s">
        <v>184</v>
      </c>
      <c r="H27" s="8"/>
      <c r="I27" s="14"/>
      <c r="J27" s="14"/>
      <c r="L27" s="12" t="s">
        <v>11</v>
      </c>
      <c r="M27" s="12"/>
      <c r="N27" s="14">
        <f>+D27</f>
        <v>310</v>
      </c>
      <c r="O27" s="14"/>
    </row>
    <row r="28" spans="1:16" x14ac:dyDescent="0.25">
      <c r="B28" t="s">
        <v>24</v>
      </c>
      <c r="D28" s="106">
        <f>+'Ex. 2 Entries - Corp'!Q32</f>
        <v>31330</v>
      </c>
      <c r="G28" t="s">
        <v>185</v>
      </c>
      <c r="H28" s="8"/>
      <c r="I28" s="14">
        <f>+E32</f>
        <v>18577</v>
      </c>
      <c r="J28" s="170"/>
      <c r="L28" t="s">
        <v>24</v>
      </c>
      <c r="M28" s="12"/>
      <c r="N28" s="14">
        <f>+D28</f>
        <v>31330</v>
      </c>
      <c r="O28" s="14"/>
    </row>
    <row r="29" spans="1:16" x14ac:dyDescent="0.25">
      <c r="B29" t="s">
        <v>191</v>
      </c>
      <c r="D29" s="106">
        <f>+E14</f>
        <v>15000</v>
      </c>
      <c r="G29" t="str">
        <f>+C34</f>
        <v>Revenue - reacquisition of property tax liens</v>
      </c>
      <c r="H29" s="8"/>
      <c r="I29" s="14">
        <f>+E34</f>
        <v>310</v>
      </c>
      <c r="J29" s="14"/>
      <c r="L29" t="str">
        <f>+B29</f>
        <v>Deferred inflow of resources - beneficial interest</v>
      </c>
      <c r="N29" s="14">
        <f>+D29</f>
        <v>15000</v>
      </c>
    </row>
    <row r="30" spans="1:16" x14ac:dyDescent="0.25">
      <c r="C30" t="s">
        <v>23</v>
      </c>
      <c r="E30" s="106">
        <f>+'Ex. 2 Entries - Corp'!P29</f>
        <v>12753</v>
      </c>
      <c r="H30" t="s">
        <v>193</v>
      </c>
      <c r="I30" s="14"/>
      <c r="J30" s="14">
        <f>+I28+I29</f>
        <v>18887</v>
      </c>
      <c r="M30" s="12" t="str">
        <f>+H30</f>
        <v xml:space="preserve">Gain on reacquisition of  property tax liens </v>
      </c>
      <c r="N30" s="14"/>
      <c r="O30" s="14">
        <f>+J30</f>
        <v>18887</v>
      </c>
    </row>
    <row r="31" spans="1:16" x14ac:dyDescent="0.25">
      <c r="C31" t="s">
        <v>184</v>
      </c>
      <c r="G31" s="9"/>
      <c r="H31" s="8"/>
      <c r="I31" s="14"/>
      <c r="J31" s="14"/>
      <c r="M31" t="s">
        <v>23</v>
      </c>
      <c r="N31" s="14"/>
      <c r="O31" s="14">
        <f>+E30</f>
        <v>12753</v>
      </c>
    </row>
    <row r="32" spans="1:16" ht="14.25" customHeight="1" x14ac:dyDescent="0.25">
      <c r="C32" t="s">
        <v>185</v>
      </c>
      <c r="E32" s="106">
        <f>+D28-E30</f>
        <v>18577</v>
      </c>
      <c r="G32" s="171"/>
      <c r="H32" s="172"/>
      <c r="I32" s="14"/>
      <c r="J32" s="14"/>
      <c r="L32" s="12"/>
      <c r="M32" s="12" t="str">
        <f>+L10</f>
        <v>Beneficial interest in tax lien trust</v>
      </c>
      <c r="N32" s="14"/>
      <c r="O32" s="14">
        <f>+E33</f>
        <v>15000</v>
      </c>
    </row>
    <row r="33" spans="1:16" x14ac:dyDescent="0.25">
      <c r="C33" s="12" t="str">
        <f>+B11</f>
        <v>Beneficial interest in tax lien trust</v>
      </c>
      <c r="E33" s="106">
        <f>+D11</f>
        <v>15000</v>
      </c>
      <c r="G33" s="9"/>
      <c r="H33" s="172"/>
      <c r="I33" s="14"/>
      <c r="J33" s="14"/>
      <c r="L33" s="151" t="s">
        <v>200</v>
      </c>
      <c r="M33" s="151"/>
      <c r="N33" s="14"/>
      <c r="O33" s="14"/>
    </row>
    <row r="34" spans="1:16" x14ac:dyDescent="0.25">
      <c r="C34" s="12" t="s">
        <v>192</v>
      </c>
      <c r="E34" s="106">
        <v>310</v>
      </c>
      <c r="G34" s="9"/>
      <c r="H34" s="172"/>
      <c r="I34" s="14"/>
      <c r="J34" s="14"/>
      <c r="L34" s="151" t="s">
        <v>201</v>
      </c>
      <c r="M34" s="151"/>
      <c r="N34" s="14"/>
      <c r="O34" s="14"/>
    </row>
    <row r="35" spans="1:16" x14ac:dyDescent="0.25">
      <c r="B35" s="151" t="s">
        <v>200</v>
      </c>
      <c r="C35" s="151"/>
      <c r="G35" s="9"/>
      <c r="H35" s="172"/>
      <c r="I35" s="14"/>
      <c r="J35" s="14"/>
      <c r="L35" s="151" t="s">
        <v>199</v>
      </c>
      <c r="N35" s="14"/>
      <c r="O35" s="14"/>
    </row>
    <row r="36" spans="1:16" x14ac:dyDescent="0.25">
      <c r="B36" s="151" t="s">
        <v>201</v>
      </c>
      <c r="C36" s="151"/>
      <c r="G36" s="9"/>
      <c r="H36" s="172"/>
      <c r="I36" s="14"/>
      <c r="J36" s="14"/>
      <c r="N36" s="14"/>
      <c r="O36" s="14"/>
    </row>
    <row r="37" spans="1:16" x14ac:dyDescent="0.25">
      <c r="B37" s="151" t="s">
        <v>199</v>
      </c>
      <c r="C37" s="151"/>
      <c r="G37" s="9"/>
      <c r="H37" s="8"/>
      <c r="I37" s="14"/>
      <c r="J37" s="14"/>
    </row>
    <row r="38" spans="1:16" x14ac:dyDescent="0.25">
      <c r="G38" s="9"/>
      <c r="H38" s="8"/>
      <c r="I38" s="14"/>
      <c r="J38" s="14"/>
      <c r="L38" s="12"/>
      <c r="M38" s="12"/>
      <c r="N38" s="35"/>
      <c r="O38" s="35"/>
    </row>
    <row r="39" spans="1:16" x14ac:dyDescent="0.25">
      <c r="B39" s="151"/>
      <c r="C39" s="151"/>
      <c r="G39" s="9"/>
      <c r="H39" s="8"/>
      <c r="I39" s="14"/>
      <c r="J39" s="14"/>
      <c r="L39" s="12"/>
      <c r="M39" s="12"/>
      <c r="N39" s="35"/>
      <c r="O39" s="35"/>
    </row>
    <row r="40" spans="1:16" x14ac:dyDescent="0.25">
      <c r="D40"/>
      <c r="E40"/>
      <c r="G40" s="9"/>
      <c r="H40" s="8"/>
      <c r="I40" s="14"/>
      <c r="J40" s="14"/>
      <c r="L40" s="12"/>
      <c r="M40" s="12"/>
      <c r="N40" s="35"/>
      <c r="O40" s="35"/>
    </row>
    <row r="41" spans="1:16" s="99" customFormat="1" x14ac:dyDescent="0.25">
      <c r="A41" s="95">
        <v>2023</v>
      </c>
      <c r="G41" s="96"/>
      <c r="H41" s="97"/>
      <c r="I41" s="98"/>
      <c r="J41" s="98"/>
      <c r="M41" s="104"/>
      <c r="N41" s="97"/>
      <c r="O41" s="98"/>
      <c r="P41" s="98"/>
    </row>
    <row r="42" spans="1:16" x14ac:dyDescent="0.25">
      <c r="A42" s="257">
        <v>45107</v>
      </c>
      <c r="B42" s="257"/>
      <c r="C42" s="8"/>
      <c r="G42" s="9"/>
      <c r="H42" s="8"/>
      <c r="I42" s="14"/>
      <c r="J42" s="14"/>
      <c r="L42" s="9"/>
      <c r="M42" s="8"/>
      <c r="N42" s="14"/>
      <c r="O42" s="14"/>
    </row>
    <row r="43" spans="1:16" x14ac:dyDescent="0.25">
      <c r="A43" t="s">
        <v>160</v>
      </c>
      <c r="B43" t="s">
        <v>24</v>
      </c>
      <c r="C43" s="8"/>
      <c r="D43" s="106">
        <f>+'Ex. 2 Amortization table'!Q47</f>
        <v>2747.2175741528081</v>
      </c>
      <c r="G43" s="9"/>
      <c r="H43" s="93" t="s">
        <v>187</v>
      </c>
      <c r="I43" s="14"/>
      <c r="J43" s="14"/>
      <c r="L43" t="s">
        <v>24</v>
      </c>
      <c r="M43" s="8"/>
      <c r="N43" s="14">
        <f>+D43</f>
        <v>2747.2175741528081</v>
      </c>
      <c r="O43" s="14"/>
    </row>
    <row r="44" spans="1:16" x14ac:dyDescent="0.25">
      <c r="B44" s="58"/>
      <c r="C44" t="s">
        <v>23</v>
      </c>
      <c r="E44" s="106">
        <f>+'Ex. 2 Amortization table'!R47</f>
        <v>137.36087870764044</v>
      </c>
      <c r="G44" s="9"/>
      <c r="H44" s="8"/>
      <c r="I44" s="14"/>
      <c r="J44" s="14"/>
      <c r="L44" s="58"/>
      <c r="M44" t="s">
        <v>23</v>
      </c>
      <c r="N44" s="14"/>
      <c r="O44" s="14">
        <f>+E44</f>
        <v>137.36087870764044</v>
      </c>
    </row>
    <row r="45" spans="1:16" x14ac:dyDescent="0.25">
      <c r="B45" s="10"/>
      <c r="C45" s="8" t="s">
        <v>37</v>
      </c>
      <c r="E45" s="106">
        <f>+D43-E44</f>
        <v>2609.8566954451676</v>
      </c>
      <c r="G45" s="9"/>
      <c r="H45" s="8"/>
      <c r="I45" s="14"/>
      <c r="J45" s="14"/>
      <c r="L45" s="10"/>
      <c r="M45" s="8" t="s">
        <v>37</v>
      </c>
      <c r="N45" s="14"/>
      <c r="O45" s="14">
        <f>+N43-O44</f>
        <v>2609.8566954451676</v>
      </c>
    </row>
    <row r="46" spans="1:16" ht="14.25" customHeight="1" x14ac:dyDescent="0.25">
      <c r="B46" s="244" t="s">
        <v>205</v>
      </c>
      <c r="C46" s="244"/>
      <c r="G46" s="9"/>
      <c r="H46" s="8"/>
      <c r="I46" s="14"/>
      <c r="J46" s="14"/>
      <c r="L46" s="244" t="s">
        <v>205</v>
      </c>
      <c r="M46" s="244"/>
      <c r="N46" s="14"/>
      <c r="O46" s="14"/>
    </row>
    <row r="47" spans="1:16" x14ac:dyDescent="0.25">
      <c r="B47" s="10" t="s">
        <v>206</v>
      </c>
      <c r="C47" s="10"/>
      <c r="G47" s="9"/>
      <c r="H47" s="8"/>
      <c r="I47" s="14"/>
      <c r="J47" s="14"/>
      <c r="L47" s="10" t="s">
        <v>206</v>
      </c>
      <c r="M47" s="10"/>
      <c r="N47" s="14"/>
      <c r="O47" s="14"/>
    </row>
    <row r="48" spans="1:16" ht="14.65" customHeight="1" x14ac:dyDescent="0.25">
      <c r="B48" s="245"/>
      <c r="C48" s="245"/>
      <c r="G48" s="12"/>
      <c r="H48" s="12"/>
      <c r="I48" s="14"/>
      <c r="J48" s="14"/>
      <c r="L48" s="245"/>
      <c r="M48" s="245"/>
      <c r="N48" s="14"/>
      <c r="O48" s="14"/>
    </row>
    <row r="49" spans="1:15" ht="14.65" customHeight="1" x14ac:dyDescent="0.25">
      <c r="B49" s="9"/>
      <c r="C49" s="8"/>
      <c r="G49" s="242"/>
      <c r="H49" s="242"/>
      <c r="I49" s="242"/>
      <c r="J49" s="242"/>
      <c r="L49" s="244"/>
      <c r="M49" s="244"/>
      <c r="N49" s="14"/>
      <c r="O49" s="14"/>
    </row>
    <row r="50" spans="1:15" ht="14.65" customHeight="1" x14ac:dyDescent="0.25">
      <c r="A50" t="s">
        <v>161</v>
      </c>
      <c r="B50" s="12" t="s">
        <v>11</v>
      </c>
      <c r="C50" s="12"/>
      <c r="D50" s="106">
        <f>ROUND(+'Ex. 2 Amortization table'!U47,0)</f>
        <v>13827</v>
      </c>
      <c r="G50" s="44"/>
      <c r="H50" s="93" t="s">
        <v>187</v>
      </c>
      <c r="I50" s="14"/>
      <c r="J50" s="14"/>
      <c r="L50" s="245" t="s">
        <v>11</v>
      </c>
      <c r="M50" s="245"/>
      <c r="N50" s="14">
        <f>+D50</f>
        <v>13827</v>
      </c>
      <c r="O50" s="14"/>
    </row>
    <row r="51" spans="1:15" x14ac:dyDescent="0.25">
      <c r="B51" t="s">
        <v>184</v>
      </c>
      <c r="G51" s="12"/>
      <c r="H51" s="12"/>
      <c r="I51" s="14"/>
      <c r="J51" s="14"/>
      <c r="L51" s="8"/>
      <c r="M51" t="s">
        <v>24</v>
      </c>
      <c r="N51" s="14"/>
      <c r="O51" s="14">
        <f>+N50</f>
        <v>13827</v>
      </c>
    </row>
    <row r="52" spans="1:15" ht="14.25" customHeight="1" x14ac:dyDescent="0.25">
      <c r="B52" t="s">
        <v>185</v>
      </c>
      <c r="D52" s="106">
        <f>+D50</f>
        <v>13827</v>
      </c>
      <c r="G52" s="12"/>
      <c r="H52" s="12"/>
      <c r="I52" s="14"/>
      <c r="J52" s="14"/>
      <c r="L52" s="244" t="s">
        <v>188</v>
      </c>
      <c r="M52" s="244"/>
      <c r="N52" s="14"/>
      <c r="O52" s="14"/>
    </row>
    <row r="53" spans="1:15" ht="14.25" customHeight="1" x14ac:dyDescent="0.25">
      <c r="C53" t="s">
        <v>318</v>
      </c>
      <c r="E53" s="106">
        <f>+D52</f>
        <v>13827</v>
      </c>
      <c r="G53" s="12"/>
      <c r="H53" s="12"/>
      <c r="I53" s="14"/>
      <c r="J53" s="14"/>
      <c r="L53" s="60"/>
      <c r="M53" s="60"/>
      <c r="N53" s="14"/>
      <c r="O53" s="14"/>
    </row>
    <row r="54" spans="1:15" ht="14.65" customHeight="1" x14ac:dyDescent="0.25">
      <c r="B54" s="8"/>
      <c r="C54" t="s">
        <v>24</v>
      </c>
      <c r="E54" s="106">
        <f>+D50</f>
        <v>13827</v>
      </c>
      <c r="G54" s="12"/>
      <c r="H54" s="12"/>
      <c r="I54" s="14"/>
      <c r="J54" s="14"/>
      <c r="L54" s="243" t="s">
        <v>189</v>
      </c>
      <c r="M54" s="243"/>
      <c r="N54" s="22"/>
      <c r="O54" s="14"/>
    </row>
    <row r="55" spans="1:15" x14ac:dyDescent="0.25">
      <c r="B55" s="13" t="s">
        <v>188</v>
      </c>
      <c r="C55" s="13"/>
      <c r="I55" s="16"/>
      <c r="J55" s="16"/>
      <c r="N55" s="16"/>
      <c r="O55" s="16"/>
    </row>
    <row r="56" spans="1:15" x14ac:dyDescent="0.25">
      <c r="B56" s="13" t="s">
        <v>319</v>
      </c>
      <c r="C56" s="13"/>
      <c r="I56" s="16"/>
      <c r="J56" s="16"/>
      <c r="N56" s="16"/>
      <c r="O56" s="16"/>
    </row>
    <row r="57" spans="1:15" x14ac:dyDescent="0.25">
      <c r="I57" s="16"/>
      <c r="J57" s="16"/>
      <c r="N57" s="16"/>
      <c r="O57" s="16"/>
    </row>
    <row r="58" spans="1:15" x14ac:dyDescent="0.25">
      <c r="I58" s="16"/>
      <c r="J58" s="16"/>
      <c r="N58" s="16"/>
      <c r="O58" s="16"/>
    </row>
    <row r="59" spans="1:15" x14ac:dyDescent="0.25">
      <c r="I59" s="16"/>
      <c r="J59" s="16"/>
      <c r="N59" s="16"/>
      <c r="O59" s="16"/>
    </row>
    <row r="60" spans="1:15" x14ac:dyDescent="0.25">
      <c r="I60" s="16"/>
      <c r="J60" s="16"/>
      <c r="N60" s="16"/>
      <c r="O60" s="16"/>
    </row>
    <row r="62" spans="1:15" ht="15.75" thickBot="1" x14ac:dyDescent="0.3">
      <c r="A62" t="s">
        <v>367</v>
      </c>
      <c r="D62" s="188">
        <f>SUM(D7:D57)-SUM(E7:E57)</f>
        <v>0</v>
      </c>
      <c r="I62" s="188">
        <f>SUM(I7:I57)-SUM(J7:J57)</f>
        <v>0</v>
      </c>
      <c r="N62" s="188">
        <f>SUM(N7:N57)-SUM(O7:O57)</f>
        <v>0</v>
      </c>
    </row>
    <row r="63" spans="1:15" ht="15.75" thickTop="1" x14ac:dyDescent="0.25"/>
  </sheetData>
  <mergeCells count="21">
    <mergeCell ref="A26:C26"/>
    <mergeCell ref="L48:M48"/>
    <mergeCell ref="A42:B42"/>
    <mergeCell ref="B46:C46"/>
    <mergeCell ref="A4:E4"/>
    <mergeCell ref="G4:J4"/>
    <mergeCell ref="L4:O4"/>
    <mergeCell ref="L5:M5"/>
    <mergeCell ref="L46:M46"/>
    <mergeCell ref="G5:H5"/>
    <mergeCell ref="A6:C6"/>
    <mergeCell ref="G7:H7"/>
    <mergeCell ref="L6:M6"/>
    <mergeCell ref="G15:H15"/>
    <mergeCell ref="B5:C5"/>
    <mergeCell ref="L50:M50"/>
    <mergeCell ref="L52:M52"/>
    <mergeCell ref="L54:M54"/>
    <mergeCell ref="B48:C48"/>
    <mergeCell ref="G49:J49"/>
    <mergeCell ref="L49:M49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1"/>
  <sheetViews>
    <sheetView workbookViewId="0">
      <selection sqref="A1:Q1"/>
    </sheetView>
    <sheetView workbookViewId="1">
      <selection sqref="A1:Q1"/>
    </sheetView>
  </sheetViews>
  <sheetFormatPr defaultRowHeight="15" x14ac:dyDescent="0.25"/>
  <cols>
    <col min="1" max="1" width="5.7109375" customWidth="1"/>
    <col min="2" max="2" width="5" customWidth="1"/>
    <col min="3" max="3" width="42.5703125" customWidth="1"/>
    <col min="4" max="5" width="10.85546875" style="1" bestFit="1" customWidth="1"/>
    <col min="6" max="6" width="3.5703125" style="1" customWidth="1"/>
    <col min="7" max="7" width="5.42578125" customWidth="1"/>
    <col min="8" max="8" width="4.85546875" customWidth="1"/>
    <col min="9" max="9" width="38.85546875" customWidth="1"/>
    <col min="10" max="11" width="10.85546875" style="1" bestFit="1" customWidth="1"/>
    <col min="12" max="12" width="3.5703125" style="1" customWidth="1"/>
    <col min="13" max="13" width="4.28515625" customWidth="1"/>
    <col min="14" max="14" width="5.28515625" customWidth="1"/>
    <col min="15" max="15" width="38.85546875" customWidth="1"/>
    <col min="16" max="17" width="10.85546875" style="1" bestFit="1" customWidth="1"/>
  </cols>
  <sheetData>
    <row r="1" spans="1:17" ht="14.65" customHeight="1" x14ac:dyDescent="0.25">
      <c r="A1" s="246" t="s">
        <v>207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ht="18.75" x14ac:dyDescent="0.25">
      <c r="D2" s="174" t="s">
        <v>348</v>
      </c>
    </row>
    <row r="3" spans="1:17" x14ac:dyDescent="0.25">
      <c r="A3" s="46" t="s">
        <v>60</v>
      </c>
    </row>
    <row r="4" spans="1:17" x14ac:dyDescent="0.25">
      <c r="H4" s="9"/>
      <c r="I4" s="8"/>
      <c r="J4" s="14"/>
      <c r="K4" s="14"/>
      <c r="L4" s="14"/>
    </row>
    <row r="5" spans="1:17" x14ac:dyDescent="0.25">
      <c r="A5" s="109">
        <v>2020</v>
      </c>
      <c r="C5" s="12"/>
      <c r="D5" s="35" t="s">
        <v>8</v>
      </c>
      <c r="E5" s="35" t="s">
        <v>9</v>
      </c>
      <c r="F5" s="35"/>
      <c r="H5" s="109">
        <v>2021</v>
      </c>
      <c r="I5" s="12"/>
      <c r="J5" s="35" t="s">
        <v>8</v>
      </c>
      <c r="K5" s="35" t="s">
        <v>9</v>
      </c>
      <c r="L5" s="35"/>
      <c r="N5" s="109">
        <v>2022</v>
      </c>
      <c r="O5" s="12"/>
      <c r="P5" s="35" t="s">
        <v>8</v>
      </c>
      <c r="Q5" s="35" t="s">
        <v>9</v>
      </c>
    </row>
    <row r="6" spans="1:17" x14ac:dyDescent="0.25">
      <c r="A6" s="71"/>
      <c r="C6" s="12"/>
      <c r="D6" s="35"/>
      <c r="E6" s="35"/>
      <c r="F6" s="35"/>
      <c r="H6" s="71"/>
      <c r="I6" s="12"/>
      <c r="J6" s="35"/>
      <c r="K6" s="35"/>
      <c r="L6" s="35"/>
      <c r="N6" s="71"/>
      <c r="O6" s="12"/>
      <c r="P6" s="35"/>
      <c r="Q6" s="35"/>
    </row>
    <row r="7" spans="1:17" x14ac:dyDescent="0.25">
      <c r="A7" s="257">
        <v>43952</v>
      </c>
      <c r="B7" s="257"/>
      <c r="C7" s="12"/>
      <c r="D7" s="35"/>
      <c r="E7" s="35"/>
      <c r="F7" s="35"/>
      <c r="G7" s="257">
        <v>44377</v>
      </c>
      <c r="H7" s="257"/>
      <c r="I7" s="12"/>
      <c r="J7" s="14"/>
      <c r="K7" s="14"/>
      <c r="L7" s="35"/>
      <c r="M7" s="257">
        <v>44742</v>
      </c>
      <c r="N7" s="257"/>
      <c r="O7" s="12"/>
      <c r="P7" s="35"/>
      <c r="Q7" s="35"/>
    </row>
    <row r="8" spans="1:17" x14ac:dyDescent="0.25">
      <c r="A8" t="s">
        <v>160</v>
      </c>
      <c r="B8" s="12" t="s">
        <v>11</v>
      </c>
      <c r="C8" s="12"/>
      <c r="D8" s="14">
        <v>185000</v>
      </c>
      <c r="E8" s="14"/>
      <c r="F8" s="14"/>
      <c r="G8" t="s">
        <v>160</v>
      </c>
      <c r="H8" t="s">
        <v>24</v>
      </c>
      <c r="I8" s="11"/>
      <c r="J8" s="14">
        <f>ROUND('Ex. 2 Amortization table'!Q23,0)</f>
        <v>21530</v>
      </c>
      <c r="K8" s="14"/>
      <c r="L8" s="14"/>
      <c r="M8" t="s">
        <v>160</v>
      </c>
      <c r="N8" t="s">
        <v>24</v>
      </c>
      <c r="O8" s="11"/>
      <c r="P8" s="14">
        <f>ROUND('Ex. 2 Amortization table'!Q35,0)</f>
        <v>9161</v>
      </c>
      <c r="Q8" s="14"/>
    </row>
    <row r="9" spans="1:17" x14ac:dyDescent="0.25">
      <c r="B9" s="12" t="s">
        <v>35</v>
      </c>
      <c r="C9" s="12"/>
      <c r="D9" s="14">
        <v>5000</v>
      </c>
      <c r="E9" s="14"/>
      <c r="F9" s="14"/>
      <c r="H9" s="10"/>
      <c r="I9" t="s">
        <v>23</v>
      </c>
      <c r="J9" s="14"/>
      <c r="K9" s="14">
        <f>ROUND('Ex. 2 Amortization table'!R23,0)</f>
        <v>1077</v>
      </c>
      <c r="L9" s="14"/>
      <c r="N9" s="10"/>
      <c r="O9" t="s">
        <v>23</v>
      </c>
      <c r="P9" s="14"/>
      <c r="Q9" s="14">
        <f>ROUND('Ex. 2 Amortization table'!R35,0)</f>
        <v>458</v>
      </c>
    </row>
    <row r="10" spans="1:17" x14ac:dyDescent="0.25">
      <c r="C10" t="s">
        <v>36</v>
      </c>
      <c r="D10" s="14"/>
      <c r="E10" s="14">
        <v>190000</v>
      </c>
      <c r="F10" s="14"/>
      <c r="I10" s="8" t="s">
        <v>37</v>
      </c>
      <c r="J10" s="14"/>
      <c r="K10" s="14">
        <f>+J8-K9</f>
        <v>20453</v>
      </c>
      <c r="L10" s="14"/>
      <c r="O10" s="8" t="s">
        <v>37</v>
      </c>
      <c r="P10" s="14"/>
      <c r="Q10" s="14">
        <f>+P8-Q9</f>
        <v>8703</v>
      </c>
    </row>
    <row r="11" spans="1:17" x14ac:dyDescent="0.25">
      <c r="B11" s="58" t="s">
        <v>39</v>
      </c>
      <c r="C11" s="12"/>
      <c r="D11" s="14"/>
      <c r="E11" s="14"/>
      <c r="F11" s="14"/>
      <c r="H11" s="244" t="s">
        <v>54</v>
      </c>
      <c r="I11" s="244"/>
      <c r="J11" s="14"/>
      <c r="K11" s="14"/>
      <c r="L11" s="14"/>
      <c r="N11" s="244" t="s">
        <v>54</v>
      </c>
      <c r="O11" s="244"/>
      <c r="P11" s="14"/>
      <c r="Q11" s="14"/>
    </row>
    <row r="12" spans="1:17" x14ac:dyDescent="0.25">
      <c r="B12" s="9"/>
      <c r="C12" s="8"/>
      <c r="D12" s="14"/>
      <c r="E12" s="14"/>
      <c r="F12" s="14"/>
      <c r="H12" s="10" t="s">
        <v>45</v>
      </c>
      <c r="I12" s="10"/>
      <c r="J12" s="14"/>
      <c r="K12" s="14"/>
      <c r="L12" s="14"/>
      <c r="N12" s="10" t="s">
        <v>45</v>
      </c>
      <c r="O12" s="10"/>
      <c r="P12" s="14"/>
      <c r="Q12" s="14"/>
    </row>
    <row r="13" spans="1:17" x14ac:dyDescent="0.25">
      <c r="B13" s="9"/>
      <c r="C13" s="8"/>
      <c r="D13" s="14"/>
      <c r="E13" s="14"/>
      <c r="F13" s="14"/>
      <c r="H13" s="245"/>
      <c r="I13" s="245"/>
      <c r="J13" s="14"/>
      <c r="K13" s="14"/>
      <c r="L13" s="14"/>
      <c r="N13" s="245"/>
      <c r="O13" s="245"/>
      <c r="P13" s="14"/>
      <c r="Q13" s="14"/>
    </row>
    <row r="14" spans="1:17" x14ac:dyDescent="0.25">
      <c r="A14" t="s">
        <v>161</v>
      </c>
      <c r="B14" s="242" t="s">
        <v>24</v>
      </c>
      <c r="C14" s="242"/>
      <c r="D14" s="14">
        <f>+'Ex. 2 Entries -City'!E15</f>
        <v>200000</v>
      </c>
      <c r="E14" s="14"/>
      <c r="F14" s="14"/>
      <c r="J14" s="14"/>
      <c r="K14" s="14"/>
      <c r="L14" s="14"/>
      <c r="P14" s="14"/>
      <c r="Q14" s="14"/>
    </row>
    <row r="15" spans="1:17" x14ac:dyDescent="0.25">
      <c r="B15" t="s">
        <v>314</v>
      </c>
      <c r="D15" s="14">
        <f>SUM(E16:E18)-D14</f>
        <v>10000</v>
      </c>
      <c r="E15" s="14"/>
      <c r="F15" s="14"/>
      <c r="G15" t="s">
        <v>161</v>
      </c>
      <c r="H15" s="245" t="s">
        <v>11</v>
      </c>
      <c r="I15" s="245"/>
      <c r="J15" s="14">
        <f>ROUND(+'Ex. 2 Amortization table'!U23,0)</f>
        <v>95713</v>
      </c>
      <c r="K15" s="14"/>
      <c r="L15" s="14"/>
      <c r="M15" t="s">
        <v>161</v>
      </c>
      <c r="N15" s="245" t="s">
        <v>11</v>
      </c>
      <c r="O15" s="245"/>
      <c r="P15" s="14">
        <f>ROUND(+'Ex. 2 Amortization table'!U35,0)</f>
        <v>93663</v>
      </c>
      <c r="Q15" s="14"/>
    </row>
    <row r="16" spans="1:17" x14ac:dyDescent="0.25">
      <c r="B16" s="45"/>
      <c r="C16" s="45" t="s">
        <v>23</v>
      </c>
      <c r="D16" s="14"/>
      <c r="E16" s="14">
        <f>+'Ex. 2 Entries -City'!D8</f>
        <v>10000</v>
      </c>
      <c r="F16" s="14"/>
      <c r="H16" s="12" t="s">
        <v>46</v>
      </c>
      <c r="I16" s="8"/>
      <c r="J16" s="14">
        <f>ROUND(+'Ex. 2 Amortization table'!T23,0)</f>
        <v>10635</v>
      </c>
      <c r="K16" s="14"/>
      <c r="L16" s="14"/>
      <c r="N16" s="12" t="s">
        <v>46</v>
      </c>
      <c r="O16" s="8"/>
      <c r="P16" s="14">
        <f>ROUND(+'Ex. 2 Amortization table'!T35,0)</f>
        <v>10407</v>
      </c>
      <c r="Q16" s="14"/>
    </row>
    <row r="17" spans="1:17" x14ac:dyDescent="0.25">
      <c r="B17" s="45"/>
      <c r="C17" s="45" t="s">
        <v>155</v>
      </c>
      <c r="D17" s="14"/>
      <c r="E17" s="14">
        <f>+'Ex. 2 Entries -City'!D11</f>
        <v>15000</v>
      </c>
      <c r="F17" s="14"/>
      <c r="H17" s="8"/>
      <c r="I17" s="8" t="str">
        <f>+H8</f>
        <v>Property tax liens receivable</v>
      </c>
      <c r="J17" s="14"/>
      <c r="K17" s="14">
        <f>+J15+J16</f>
        <v>106348</v>
      </c>
      <c r="L17" s="14"/>
      <c r="N17" s="9"/>
      <c r="O17" s="8" t="str">
        <f>+N8</f>
        <v>Property tax liens receivable</v>
      </c>
      <c r="P17" s="14"/>
      <c r="Q17" s="14">
        <f>ROUND(+'Ex. 2 Amortization table'!S35,0)</f>
        <v>104070</v>
      </c>
    </row>
    <row r="18" spans="1:17" ht="14.25" customHeight="1" x14ac:dyDescent="0.25">
      <c r="B18" s="45"/>
      <c r="C18" s="8" t="s">
        <v>11</v>
      </c>
      <c r="D18" s="14"/>
      <c r="E18" s="14">
        <f>+D8</f>
        <v>185000</v>
      </c>
      <c r="F18" s="14"/>
      <c r="H18" s="244" t="s">
        <v>47</v>
      </c>
      <c r="I18" s="244"/>
      <c r="J18" s="14"/>
      <c r="K18" s="14"/>
      <c r="L18" s="14"/>
      <c r="N18" s="244" t="s">
        <v>47</v>
      </c>
      <c r="O18" s="244"/>
      <c r="P18" s="14"/>
      <c r="Q18" s="14"/>
    </row>
    <row r="19" spans="1:17" x14ac:dyDescent="0.25">
      <c r="B19" s="13" t="s">
        <v>154</v>
      </c>
      <c r="C19" s="13"/>
      <c r="D19" s="14"/>
      <c r="E19" s="14"/>
      <c r="F19" s="14"/>
      <c r="H19" s="243" t="s">
        <v>55</v>
      </c>
      <c r="I19" s="243"/>
      <c r="J19" s="14"/>
      <c r="K19" s="14"/>
      <c r="L19" s="14"/>
      <c r="N19" s="243" t="s">
        <v>55</v>
      </c>
      <c r="O19" s="243"/>
      <c r="P19" s="14"/>
      <c r="Q19" s="14"/>
    </row>
    <row r="20" spans="1:17" ht="14.65" customHeight="1" x14ac:dyDescent="0.25">
      <c r="D20" s="14"/>
      <c r="E20" s="14"/>
      <c r="F20" s="14"/>
      <c r="H20" s="9"/>
      <c r="J20" s="14"/>
      <c r="K20" s="14"/>
      <c r="L20" s="14"/>
      <c r="P20" s="14"/>
      <c r="Q20" s="14"/>
    </row>
    <row r="21" spans="1:17" ht="14.65" customHeight="1" x14ac:dyDescent="0.25">
      <c r="A21" s="257"/>
      <c r="B21" s="257"/>
      <c r="C21" s="37"/>
      <c r="D21" s="14"/>
      <c r="E21" s="14"/>
      <c r="F21" s="14"/>
      <c r="H21" s="243"/>
      <c r="I21" s="243"/>
      <c r="J21" s="14"/>
      <c r="K21" s="14"/>
      <c r="L21" s="14"/>
      <c r="P21" s="14"/>
      <c r="Q21" s="14"/>
    </row>
    <row r="22" spans="1:17" ht="14.65" customHeight="1" x14ac:dyDescent="0.25">
      <c r="A22" t="s">
        <v>162</v>
      </c>
      <c r="B22" t="s">
        <v>24</v>
      </c>
      <c r="C22" s="11"/>
      <c r="D22" s="14">
        <f>+D14*0.1</f>
        <v>20000</v>
      </c>
      <c r="E22" s="14"/>
      <c r="F22" s="14"/>
      <c r="G22" t="s">
        <v>162</v>
      </c>
      <c r="H22" t="s">
        <v>49</v>
      </c>
      <c r="I22" s="15"/>
      <c r="J22" s="14">
        <f>ROUND(+'Ex. 2 Amortization table'!X23,0)</f>
        <v>88000</v>
      </c>
      <c r="K22" s="14"/>
      <c r="L22" s="16"/>
      <c r="M22" t="s">
        <v>162</v>
      </c>
      <c r="N22" t="s">
        <v>49</v>
      </c>
      <c r="O22" s="15"/>
      <c r="P22" s="14">
        <f>ROUND('Ex. 2 Amortization table'!X35,0)</f>
        <v>92000</v>
      </c>
      <c r="Q22" s="14"/>
    </row>
    <row r="23" spans="1:17" ht="14.65" customHeight="1" x14ac:dyDescent="0.25">
      <c r="C23" s="45" t="s">
        <v>23</v>
      </c>
      <c r="D23" s="14"/>
      <c r="E23" s="14">
        <f>+D22*0.05</f>
        <v>1000</v>
      </c>
      <c r="F23" s="14"/>
      <c r="H23" t="s">
        <v>16</v>
      </c>
      <c r="J23" s="14">
        <f>ROUND(+'Ex. 2 Amortization table'!W23,0)</f>
        <v>7292</v>
      </c>
      <c r="K23" s="14"/>
      <c r="L23" s="16"/>
      <c r="N23" t="s">
        <v>16</v>
      </c>
      <c r="P23" s="14">
        <f>ROUND(+'Ex. 2 Amortization table'!W35,0)</f>
        <v>2179</v>
      </c>
      <c r="Q23" s="14"/>
    </row>
    <row r="24" spans="1:17" ht="14.65" customHeight="1" x14ac:dyDescent="0.25">
      <c r="B24" s="10"/>
      <c r="C24" s="8" t="s">
        <v>37</v>
      </c>
      <c r="D24" s="14"/>
      <c r="E24" s="14">
        <f>+D22-E23</f>
        <v>19000</v>
      </c>
      <c r="F24" s="14"/>
      <c r="I24" t="s">
        <v>11</v>
      </c>
      <c r="J24" s="14"/>
      <c r="K24" s="14">
        <f>+J22+J23</f>
        <v>95292</v>
      </c>
      <c r="L24" s="16"/>
      <c r="O24" t="s">
        <v>11</v>
      </c>
      <c r="P24" s="14"/>
      <c r="Q24" s="14">
        <f>+P22+P23</f>
        <v>94179</v>
      </c>
    </row>
    <row r="25" spans="1:17" ht="14.65" customHeight="1" x14ac:dyDescent="0.25">
      <c r="B25" s="244" t="s">
        <v>38</v>
      </c>
      <c r="C25" s="244"/>
      <c r="D25" s="14"/>
      <c r="E25" s="14"/>
      <c r="F25" s="14"/>
      <c r="H25" s="58" t="s">
        <v>52</v>
      </c>
      <c r="J25" s="14"/>
      <c r="K25" s="14"/>
      <c r="L25" s="16"/>
      <c r="N25" s="58" t="s">
        <v>52</v>
      </c>
      <c r="P25" s="14"/>
      <c r="Q25" s="14"/>
    </row>
    <row r="26" spans="1:17" x14ac:dyDescent="0.25">
      <c r="B26" s="10" t="s">
        <v>309</v>
      </c>
      <c r="C26" s="10"/>
      <c r="D26" s="14"/>
      <c r="E26" s="14"/>
      <c r="F26" s="14"/>
      <c r="H26" s="58" t="s">
        <v>56</v>
      </c>
      <c r="J26" s="14"/>
      <c r="K26" s="14"/>
      <c r="L26" s="16"/>
      <c r="N26" s="58" t="s">
        <v>56</v>
      </c>
      <c r="P26" s="14"/>
      <c r="Q26" s="14"/>
    </row>
    <row r="27" spans="1:17" x14ac:dyDescent="0.25">
      <c r="B27" s="9"/>
      <c r="C27" s="8"/>
      <c r="D27" s="14"/>
      <c r="E27" s="14"/>
      <c r="F27" s="14"/>
      <c r="J27" s="14"/>
      <c r="K27" s="14"/>
      <c r="L27" s="16"/>
      <c r="P27" s="14"/>
      <c r="Q27" s="14"/>
    </row>
    <row r="28" spans="1:17" ht="14.65" customHeight="1" x14ac:dyDescent="0.25">
      <c r="A28" s="257">
        <v>44012</v>
      </c>
      <c r="B28" s="257"/>
      <c r="C28" s="8"/>
      <c r="D28" s="14"/>
      <c r="E28" s="14"/>
      <c r="F28" s="14"/>
      <c r="H28" s="58"/>
      <c r="J28" s="14"/>
      <c r="K28" s="14"/>
      <c r="L28" s="16"/>
      <c r="P28" s="14"/>
      <c r="Q28" s="14"/>
    </row>
    <row r="29" spans="1:17" x14ac:dyDescent="0.25">
      <c r="A29" t="s">
        <v>160</v>
      </c>
      <c r="B29" t="s">
        <v>24</v>
      </c>
      <c r="C29" s="11"/>
      <c r="D29" s="14">
        <f>ROUND(+'Ex. 2 Amortization table'!Q11,0)</f>
        <v>4355</v>
      </c>
      <c r="E29" s="14"/>
      <c r="F29" s="14"/>
      <c r="H29" s="58"/>
      <c r="J29" s="14"/>
      <c r="K29" s="14"/>
      <c r="L29" s="16"/>
      <c r="M29" t="s">
        <v>168</v>
      </c>
      <c r="N29" t="s">
        <v>23</v>
      </c>
      <c r="P29" s="14">
        <f>+E16+E23+E30+K9+Q9</f>
        <v>12753</v>
      </c>
      <c r="Q29" s="14"/>
    </row>
    <row r="30" spans="1:17" x14ac:dyDescent="0.25">
      <c r="C30" s="45" t="s">
        <v>23</v>
      </c>
      <c r="D30" s="14"/>
      <c r="E30" s="14">
        <f>ROUND('Ex. 2 Amortization table'!R11,0)</f>
        <v>218</v>
      </c>
      <c r="F30" s="14"/>
      <c r="H30" s="58"/>
      <c r="J30" s="14"/>
      <c r="K30" s="14"/>
      <c r="L30" s="16"/>
      <c r="N30" s="11" t="s">
        <v>155</v>
      </c>
      <c r="O30" s="8"/>
      <c r="P30" s="14">
        <f>+E17</f>
        <v>15000</v>
      </c>
      <c r="Q30" s="14"/>
    </row>
    <row r="31" spans="1:17" ht="14.65" customHeight="1" x14ac:dyDescent="0.25">
      <c r="B31" s="10"/>
      <c r="C31" s="8" t="s">
        <v>37</v>
      </c>
      <c r="D31" s="14"/>
      <c r="E31" s="14">
        <f>+D29-E30</f>
        <v>4137</v>
      </c>
      <c r="F31" s="14"/>
      <c r="H31" s="10"/>
      <c r="I31" s="8"/>
      <c r="J31" s="14"/>
      <c r="K31" s="14"/>
      <c r="L31" s="14"/>
      <c r="N31" s="12" t="s">
        <v>159</v>
      </c>
      <c r="O31" s="8"/>
      <c r="P31" s="14">
        <f>+Q32+Q33-P29-P30</f>
        <v>3887</v>
      </c>
      <c r="Q31" s="14"/>
    </row>
    <row r="32" spans="1:17" ht="14.25" customHeight="1" x14ac:dyDescent="0.25">
      <c r="B32" s="244" t="s">
        <v>44</v>
      </c>
      <c r="C32" s="244"/>
      <c r="D32" s="14"/>
      <c r="E32" s="14"/>
      <c r="F32" s="14"/>
      <c r="H32" s="244"/>
      <c r="I32" s="244"/>
      <c r="J32" s="14"/>
      <c r="K32" s="14"/>
      <c r="L32" s="14"/>
      <c r="O32" t="s">
        <v>24</v>
      </c>
      <c r="P32" s="14"/>
      <c r="Q32" s="14">
        <f>+D14+D22+D29-E38+J8-K17+P8-Q17</f>
        <v>31330</v>
      </c>
    </row>
    <row r="33" spans="1:18" x14ac:dyDescent="0.25">
      <c r="B33" s="10" t="s">
        <v>45</v>
      </c>
      <c r="C33" s="10"/>
      <c r="D33" s="14"/>
      <c r="E33" s="14"/>
      <c r="F33" s="14"/>
      <c r="H33" s="10"/>
      <c r="I33" s="10"/>
      <c r="J33" s="14"/>
      <c r="K33" s="14"/>
      <c r="L33" s="14"/>
      <c r="O33" s="8" t="s">
        <v>11</v>
      </c>
      <c r="P33" s="14"/>
      <c r="Q33" s="14">
        <f>+D8-E18+D36-E45+J15-K24+P15-Q24</f>
        <v>310</v>
      </c>
    </row>
    <row r="34" spans="1:18" ht="14.65" customHeight="1" x14ac:dyDescent="0.25">
      <c r="B34" s="9"/>
      <c r="C34" s="8"/>
      <c r="D34" s="14"/>
      <c r="E34" s="14"/>
      <c r="F34" s="14"/>
      <c r="H34" s="9"/>
      <c r="I34" s="8"/>
      <c r="J34" s="14"/>
      <c r="K34" s="14"/>
      <c r="L34" s="14"/>
      <c r="N34" s="10" t="s">
        <v>118</v>
      </c>
      <c r="O34" s="60"/>
      <c r="P34" s="14"/>
      <c r="Q34" s="14"/>
    </row>
    <row r="35" spans="1:18" ht="14.65" customHeight="1" x14ac:dyDescent="0.25">
      <c r="B35" s="245"/>
      <c r="C35" s="245"/>
      <c r="D35" s="14"/>
      <c r="E35" s="14"/>
      <c r="F35" s="14"/>
      <c r="H35" s="245"/>
      <c r="I35" s="245"/>
      <c r="J35" s="14"/>
      <c r="K35" s="14"/>
      <c r="L35" s="14"/>
      <c r="N35" s="13" t="s">
        <v>117</v>
      </c>
      <c r="P35" s="14"/>
      <c r="Q35" s="14"/>
    </row>
    <row r="36" spans="1:18" ht="14.65" customHeight="1" x14ac:dyDescent="0.25">
      <c r="A36" t="s">
        <v>161</v>
      </c>
      <c r="B36" s="245" t="s">
        <v>11</v>
      </c>
      <c r="C36" s="245"/>
      <c r="D36" s="14">
        <f>ROUND(+'Ex. 2 Amortization table'!U11,0)</f>
        <v>11968</v>
      </c>
      <c r="E36" s="14"/>
      <c r="F36" s="14"/>
      <c r="H36" s="245"/>
      <c r="I36" s="245"/>
      <c r="J36" s="14"/>
      <c r="K36" s="14"/>
      <c r="L36" s="14"/>
      <c r="N36" s="13"/>
      <c r="P36" s="14"/>
      <c r="Q36" s="14"/>
    </row>
    <row r="37" spans="1:18" x14ac:dyDescent="0.25">
      <c r="B37" s="12" t="s">
        <v>46</v>
      </c>
      <c r="C37" s="8"/>
      <c r="D37" s="14">
        <f>ROUND(+'Ex. 2 Amortization table'!T11,0)</f>
        <v>1330</v>
      </c>
      <c r="E37" s="14"/>
      <c r="F37" s="14"/>
      <c r="H37" s="12"/>
      <c r="I37" s="8"/>
      <c r="J37" s="14"/>
      <c r="K37" s="14"/>
      <c r="L37" s="14"/>
      <c r="N37" s="8"/>
      <c r="P37" s="14"/>
      <c r="Q37" s="14"/>
    </row>
    <row r="38" spans="1:18" x14ac:dyDescent="0.25">
      <c r="B38" s="9"/>
      <c r="C38" s="8" t="str">
        <f>+B29</f>
        <v>Property tax liens receivable</v>
      </c>
      <c r="D38" s="14"/>
      <c r="E38" s="14">
        <f>+D36+D37</f>
        <v>13298</v>
      </c>
      <c r="F38" s="14"/>
      <c r="H38" s="9"/>
      <c r="I38" s="8"/>
      <c r="J38" s="14"/>
      <c r="K38" s="14"/>
      <c r="L38" s="14"/>
      <c r="P38" s="14"/>
      <c r="Q38" s="14"/>
    </row>
    <row r="39" spans="1:18" ht="14.25" customHeight="1" x14ac:dyDescent="0.25">
      <c r="B39" s="244" t="s">
        <v>47</v>
      </c>
      <c r="C39" s="244"/>
      <c r="D39" s="14"/>
      <c r="E39" s="14"/>
      <c r="F39" s="14"/>
      <c r="H39" s="244"/>
      <c r="I39" s="244"/>
      <c r="J39" s="14"/>
      <c r="K39" s="14"/>
      <c r="L39" s="14"/>
      <c r="O39" s="44"/>
      <c r="P39" s="14"/>
      <c r="Q39" s="14"/>
    </row>
    <row r="40" spans="1:18" ht="14.25" customHeight="1" x14ac:dyDescent="0.25">
      <c r="B40" s="243" t="s">
        <v>48</v>
      </c>
      <c r="C40" s="243"/>
      <c r="D40" s="14"/>
      <c r="E40" s="14"/>
      <c r="F40" s="14"/>
      <c r="H40" s="243"/>
      <c r="I40" s="243"/>
      <c r="J40" s="14"/>
      <c r="K40" s="14"/>
      <c r="L40" s="14"/>
      <c r="N40" s="243"/>
      <c r="O40" s="243"/>
      <c r="P40" s="14"/>
      <c r="Q40" s="14"/>
    </row>
    <row r="41" spans="1:18" x14ac:dyDescent="0.25">
      <c r="D41" s="14"/>
      <c r="E41" s="14"/>
      <c r="F41" s="16"/>
      <c r="J41" s="14"/>
      <c r="K41" s="14"/>
      <c r="L41" s="16"/>
      <c r="P41" s="14"/>
      <c r="Q41" s="14"/>
    </row>
    <row r="42" spans="1:18" s="25" customFormat="1" x14ac:dyDescent="0.25">
      <c r="B42"/>
      <c r="C42"/>
      <c r="D42" s="14"/>
      <c r="E42" s="14"/>
      <c r="F42" s="16"/>
      <c r="G42" s="15"/>
      <c r="H42"/>
      <c r="I42"/>
      <c r="J42" s="14"/>
      <c r="K42" s="14"/>
      <c r="L42" s="16"/>
      <c r="M42" s="15"/>
      <c r="N42"/>
      <c r="O42"/>
      <c r="P42" s="14"/>
      <c r="Q42" s="14"/>
      <c r="R42" s="15"/>
    </row>
    <row r="43" spans="1:18" x14ac:dyDescent="0.25">
      <c r="A43" t="s">
        <v>162</v>
      </c>
      <c r="B43" t="s">
        <v>49</v>
      </c>
      <c r="C43" s="15"/>
      <c r="D43" s="14">
        <f>ROUND(+'Ex. 2 Amortization table'!X11,0)</f>
        <v>10000</v>
      </c>
      <c r="E43" s="14"/>
      <c r="F43" s="16"/>
      <c r="I43" s="15"/>
      <c r="J43" s="14"/>
      <c r="K43" s="14"/>
      <c r="L43" s="16"/>
      <c r="O43" s="15"/>
      <c r="P43" s="14"/>
      <c r="Q43" s="14"/>
    </row>
    <row r="44" spans="1:18" x14ac:dyDescent="0.25">
      <c r="B44" t="s">
        <v>16</v>
      </c>
      <c r="D44" s="14">
        <f>ROUND(+'Ex. 2 Amortization table'!W11,0)</f>
        <v>1563</v>
      </c>
      <c r="E44" s="14"/>
      <c r="F44" s="16"/>
      <c r="J44" s="14"/>
      <c r="K44" s="14"/>
      <c r="L44" s="16"/>
      <c r="P44" s="14"/>
      <c r="Q44" s="14"/>
    </row>
    <row r="45" spans="1:18" x14ac:dyDescent="0.25">
      <c r="C45" t="s">
        <v>11</v>
      </c>
      <c r="D45" s="14"/>
      <c r="E45" s="14">
        <f>+D43+D44</f>
        <v>11563</v>
      </c>
      <c r="F45" s="16"/>
      <c r="J45" s="14"/>
      <c r="K45" s="14"/>
      <c r="L45" s="16"/>
      <c r="P45" s="14"/>
      <c r="Q45" s="14"/>
    </row>
    <row r="46" spans="1:18" x14ac:dyDescent="0.25">
      <c r="B46" s="58" t="s">
        <v>52</v>
      </c>
      <c r="D46" s="14"/>
      <c r="E46" s="14"/>
      <c r="F46" s="16"/>
      <c r="H46" s="58"/>
      <c r="J46" s="14"/>
      <c r="K46" s="14"/>
      <c r="L46" s="16"/>
      <c r="N46" s="58"/>
      <c r="P46" s="14"/>
      <c r="Q46" s="14"/>
    </row>
    <row r="47" spans="1:18" x14ac:dyDescent="0.25">
      <c r="B47" s="58" t="s">
        <v>53</v>
      </c>
      <c r="D47" s="14"/>
      <c r="E47" s="14"/>
      <c r="F47" s="16"/>
      <c r="H47" s="58"/>
      <c r="J47" s="14"/>
      <c r="K47" s="14"/>
      <c r="L47" s="16"/>
      <c r="N47" s="58"/>
      <c r="P47" s="14"/>
      <c r="Q47" s="14"/>
    </row>
    <row r="48" spans="1:18" x14ac:dyDescent="0.25">
      <c r="D48" s="14">
        <f>SUM(D8:D47)-SUM(E8:E47)</f>
        <v>0</v>
      </c>
      <c r="E48" s="14"/>
      <c r="F48" s="16"/>
      <c r="J48" s="14">
        <f>SUM(J8:J47)-SUM(K8:K47)</f>
        <v>0</v>
      </c>
      <c r="K48" s="14"/>
      <c r="L48" s="16"/>
      <c r="P48" s="14">
        <f>SUM(P8:P47)-SUM(Q8:Q47)</f>
        <v>0</v>
      </c>
      <c r="Q48" s="14"/>
    </row>
    <row r="49" spans="2:17" x14ac:dyDescent="0.25">
      <c r="D49" s="14"/>
      <c r="E49" s="14"/>
      <c r="F49" s="16"/>
      <c r="J49" s="14"/>
      <c r="K49" s="14"/>
      <c r="L49" s="16"/>
      <c r="P49" s="14"/>
      <c r="Q49" s="14"/>
    </row>
    <row r="50" spans="2:17" x14ac:dyDescent="0.25">
      <c r="C50" s="11"/>
      <c r="D50" s="14"/>
      <c r="E50" s="14"/>
      <c r="F50" s="14"/>
      <c r="J50" s="14"/>
      <c r="K50" s="14"/>
      <c r="L50"/>
      <c r="O50" s="11"/>
      <c r="P50" s="14"/>
      <c r="Q50" s="14"/>
    </row>
    <row r="51" spans="2:17" x14ac:dyDescent="0.25">
      <c r="B51" s="10"/>
      <c r="C51" s="8"/>
      <c r="D51" s="14"/>
      <c r="E51" s="14"/>
      <c r="F51" s="14"/>
      <c r="J51" s="14"/>
      <c r="K51" s="14"/>
      <c r="L51"/>
      <c r="N51" s="10"/>
      <c r="O51" s="8"/>
      <c r="P51" s="14"/>
      <c r="Q51" s="14"/>
    </row>
    <row r="52" spans="2:17" x14ac:dyDescent="0.25">
      <c r="B52" s="244"/>
      <c r="C52" s="244"/>
      <c r="D52" s="14"/>
      <c r="E52" s="14"/>
      <c r="F52" s="14"/>
      <c r="J52" s="14"/>
      <c r="K52" s="14"/>
      <c r="L52"/>
      <c r="N52" s="244"/>
      <c r="O52" s="244"/>
      <c r="P52" s="14"/>
      <c r="Q52" s="14"/>
    </row>
    <row r="53" spans="2:17" x14ac:dyDescent="0.25">
      <c r="B53" s="10"/>
      <c r="C53" s="10"/>
      <c r="D53" s="14"/>
      <c r="E53" s="14"/>
      <c r="F53" s="14"/>
      <c r="J53" s="14"/>
      <c r="K53" s="14"/>
      <c r="L53"/>
      <c r="N53" s="10"/>
      <c r="O53" s="10"/>
      <c r="P53" s="14"/>
      <c r="Q53" s="14"/>
    </row>
    <row r="54" spans="2:17" x14ac:dyDescent="0.25">
      <c r="B54" s="9"/>
      <c r="C54" s="8"/>
      <c r="D54" s="14"/>
      <c r="E54" s="14"/>
      <c r="F54" s="14"/>
      <c r="J54" s="14"/>
      <c r="K54" s="14"/>
      <c r="L54"/>
      <c r="N54" s="9"/>
      <c r="O54" s="8"/>
      <c r="P54" s="14"/>
      <c r="Q54" s="14"/>
    </row>
    <row r="55" spans="2:17" x14ac:dyDescent="0.25">
      <c r="B55" s="245"/>
      <c r="C55" s="245"/>
      <c r="D55" s="14"/>
      <c r="E55" s="14"/>
      <c r="F55" s="14"/>
      <c r="J55" s="14"/>
      <c r="K55" s="14"/>
      <c r="L55"/>
      <c r="N55" s="245"/>
      <c r="O55" s="245"/>
      <c r="P55" s="14"/>
      <c r="Q55" s="14"/>
    </row>
    <row r="56" spans="2:17" x14ac:dyDescent="0.25">
      <c r="B56" s="245"/>
      <c r="C56" s="245"/>
      <c r="D56" s="14"/>
      <c r="E56" s="14"/>
      <c r="F56" s="14"/>
      <c r="J56" s="14"/>
      <c r="K56" s="14"/>
      <c r="L56"/>
      <c r="N56" s="245"/>
      <c r="O56" s="245"/>
      <c r="P56" s="14"/>
      <c r="Q56" s="14"/>
    </row>
    <row r="57" spans="2:17" x14ac:dyDescent="0.25">
      <c r="B57" s="12"/>
      <c r="C57" s="8"/>
      <c r="D57" s="14"/>
      <c r="E57" s="14"/>
      <c r="F57" s="14"/>
      <c r="J57" s="14"/>
      <c r="K57" s="14"/>
      <c r="L57"/>
      <c r="N57" s="12"/>
      <c r="O57" s="8"/>
      <c r="P57" s="14"/>
      <c r="Q57" s="14"/>
    </row>
    <row r="58" spans="2:17" x14ac:dyDescent="0.25">
      <c r="B58" s="9"/>
      <c r="C58" s="8"/>
      <c r="D58" s="14"/>
      <c r="E58" s="14"/>
      <c r="F58" s="14"/>
      <c r="J58" s="14"/>
      <c r="K58" s="14"/>
      <c r="L58"/>
      <c r="N58" s="9"/>
      <c r="O58" s="8"/>
      <c r="P58" s="14"/>
      <c r="Q58" s="14"/>
    </row>
    <row r="59" spans="2:17" x14ac:dyDescent="0.25">
      <c r="B59" s="244"/>
      <c r="C59" s="244"/>
      <c r="D59" s="14"/>
      <c r="E59" s="14"/>
      <c r="F59" s="14"/>
      <c r="J59" s="14"/>
      <c r="K59" s="14"/>
      <c r="L59"/>
      <c r="N59" s="244"/>
      <c r="O59" s="244"/>
      <c r="P59" s="14"/>
      <c r="Q59" s="14"/>
    </row>
    <row r="60" spans="2:17" x14ac:dyDescent="0.25">
      <c r="B60" s="243"/>
      <c r="C60" s="243"/>
      <c r="D60" s="14"/>
      <c r="E60" s="14"/>
      <c r="F60" s="14"/>
      <c r="J60" s="14"/>
      <c r="K60" s="14"/>
      <c r="L60"/>
      <c r="N60" s="243"/>
      <c r="O60" s="243"/>
      <c r="P60" s="14"/>
      <c r="Q60" s="14"/>
    </row>
    <row r="61" spans="2:17" x14ac:dyDescent="0.25">
      <c r="D61" s="14"/>
      <c r="E61" s="14"/>
      <c r="F61" s="16"/>
      <c r="J61" s="14"/>
      <c r="K61" s="14"/>
      <c r="L61"/>
      <c r="P61" s="16"/>
      <c r="Q61" s="16"/>
    </row>
    <row r="62" spans="2:17" x14ac:dyDescent="0.25">
      <c r="D62" s="14"/>
      <c r="E62" s="14"/>
      <c r="F62" s="16"/>
      <c r="J62" s="14"/>
      <c r="K62" s="14"/>
      <c r="L62"/>
      <c r="P62" s="16"/>
      <c r="Q62" s="16"/>
    </row>
    <row r="63" spans="2:17" x14ac:dyDescent="0.25">
      <c r="C63" s="15"/>
      <c r="D63" s="14"/>
      <c r="E63" s="14"/>
      <c r="F63" s="16"/>
      <c r="J63" s="14"/>
      <c r="K63" s="14"/>
      <c r="L63"/>
      <c r="O63" s="15"/>
      <c r="P63" s="16"/>
      <c r="Q63" s="16"/>
    </row>
    <row r="64" spans="2:17" x14ac:dyDescent="0.25">
      <c r="D64" s="14"/>
      <c r="E64" s="14"/>
      <c r="F64" s="16"/>
      <c r="J64" s="14"/>
      <c r="K64" s="14"/>
      <c r="L64"/>
      <c r="P64" s="16"/>
      <c r="Q64" s="16"/>
    </row>
    <row r="65" spans="2:17" x14ac:dyDescent="0.25">
      <c r="D65" s="14"/>
      <c r="E65" s="14"/>
      <c r="F65" s="16"/>
      <c r="J65" s="14"/>
      <c r="K65" s="14"/>
      <c r="L65"/>
      <c r="P65" s="16"/>
      <c r="Q65" s="16"/>
    </row>
    <row r="66" spans="2:17" x14ac:dyDescent="0.25">
      <c r="B66" s="58"/>
      <c r="D66" s="14"/>
      <c r="E66" s="14"/>
      <c r="F66" s="16"/>
      <c r="J66" s="14"/>
      <c r="K66" s="14"/>
      <c r="L66"/>
      <c r="N66" s="58"/>
      <c r="P66" s="16"/>
      <c r="Q66" s="16"/>
    </row>
    <row r="67" spans="2:17" x14ac:dyDescent="0.25">
      <c r="B67" s="58"/>
      <c r="D67" s="14"/>
      <c r="E67" s="14"/>
      <c r="F67" s="16"/>
      <c r="J67" s="14"/>
      <c r="K67" s="14"/>
      <c r="L67"/>
      <c r="N67" s="58"/>
      <c r="P67" s="16"/>
      <c r="Q67" s="16"/>
    </row>
    <row r="68" spans="2:17" x14ac:dyDescent="0.25">
      <c r="D68" s="14"/>
      <c r="E68" s="14"/>
      <c r="F68" s="16"/>
      <c r="J68" s="14"/>
      <c r="K68" s="14"/>
      <c r="L68" s="16"/>
      <c r="P68" s="16"/>
      <c r="Q68" s="16"/>
    </row>
    <row r="69" spans="2:17" x14ac:dyDescent="0.25">
      <c r="D69" s="14"/>
      <c r="E69" s="14"/>
      <c r="F69" s="16"/>
      <c r="J69" s="14"/>
      <c r="K69" s="14"/>
      <c r="L69" s="16"/>
      <c r="P69" s="16"/>
      <c r="Q69" s="16"/>
    </row>
    <row r="70" spans="2:17" x14ac:dyDescent="0.25">
      <c r="D70" s="14"/>
      <c r="E70" s="14"/>
      <c r="F70" s="16"/>
      <c r="J70" s="14"/>
      <c r="K70" s="14"/>
      <c r="L70" s="16"/>
      <c r="P70" s="16"/>
      <c r="Q70" s="16"/>
    </row>
    <row r="71" spans="2:17" x14ac:dyDescent="0.25">
      <c r="D71" s="14"/>
      <c r="E71" s="14"/>
      <c r="F71" s="16"/>
      <c r="J71" s="14"/>
      <c r="K71" s="14"/>
      <c r="L71" s="16"/>
      <c r="P71" s="16"/>
      <c r="Q71" s="16"/>
    </row>
    <row r="72" spans="2:17" x14ac:dyDescent="0.25">
      <c r="D72" s="16"/>
      <c r="E72" s="14"/>
      <c r="F72" s="16"/>
      <c r="J72" s="14"/>
      <c r="K72" s="14"/>
      <c r="L72" s="16"/>
      <c r="P72" s="16"/>
      <c r="Q72" s="16"/>
    </row>
    <row r="73" spans="2:17" x14ac:dyDescent="0.25">
      <c r="D73" s="16"/>
      <c r="E73" s="14"/>
      <c r="F73" s="16"/>
      <c r="J73" s="14"/>
      <c r="K73" s="14"/>
      <c r="L73" s="16"/>
      <c r="P73" s="16"/>
      <c r="Q73" s="16"/>
    </row>
    <row r="74" spans="2:17" x14ac:dyDescent="0.25">
      <c r="D74" s="16"/>
      <c r="E74" s="16"/>
      <c r="F74" s="16"/>
      <c r="J74" s="14"/>
      <c r="K74" s="16"/>
      <c r="L74" s="16"/>
      <c r="P74" s="16"/>
      <c r="Q74" s="16"/>
    </row>
    <row r="75" spans="2:17" x14ac:dyDescent="0.25">
      <c r="D75" s="16"/>
      <c r="E75" s="16"/>
      <c r="F75" s="16"/>
      <c r="J75" s="14"/>
      <c r="K75" s="16"/>
      <c r="L75" s="16"/>
      <c r="P75" s="16"/>
      <c r="Q75" s="16"/>
    </row>
    <row r="76" spans="2:17" x14ac:dyDescent="0.25">
      <c r="D76" s="16"/>
      <c r="E76" s="16"/>
      <c r="F76" s="16"/>
      <c r="J76" s="16"/>
      <c r="K76" s="16"/>
      <c r="L76" s="16"/>
      <c r="P76" s="16"/>
      <c r="Q76" s="16"/>
    </row>
    <row r="77" spans="2:17" x14ac:dyDescent="0.25">
      <c r="D77" s="16"/>
      <c r="E77" s="16"/>
      <c r="F77" s="16"/>
      <c r="J77" s="16"/>
      <c r="K77" s="16"/>
      <c r="L77" s="16"/>
      <c r="P77" s="16"/>
      <c r="Q77" s="16"/>
    </row>
    <row r="78" spans="2:17" x14ac:dyDescent="0.25">
      <c r="D78" s="16"/>
      <c r="E78" s="16"/>
      <c r="F78" s="16"/>
      <c r="J78" s="16"/>
      <c r="K78" s="16"/>
      <c r="L78" s="16"/>
      <c r="P78" s="16"/>
      <c r="Q78" s="16"/>
    </row>
    <row r="79" spans="2:17" x14ac:dyDescent="0.25">
      <c r="D79" s="16"/>
      <c r="E79" s="16"/>
      <c r="F79" s="16"/>
      <c r="J79" s="16"/>
      <c r="K79" s="16"/>
      <c r="L79" s="16"/>
      <c r="P79" s="16"/>
      <c r="Q79" s="16"/>
    </row>
    <row r="80" spans="2:17" x14ac:dyDescent="0.25">
      <c r="D80" s="16"/>
      <c r="E80" s="16"/>
      <c r="F80" s="16"/>
      <c r="J80" s="16"/>
      <c r="K80" s="16"/>
      <c r="L80" s="16"/>
      <c r="P80" s="16"/>
      <c r="Q80" s="16"/>
    </row>
    <row r="81" spans="4:17" x14ac:dyDescent="0.25">
      <c r="D81" s="16"/>
      <c r="E81" s="16"/>
      <c r="F81" s="16"/>
      <c r="J81" s="16"/>
      <c r="K81" s="16"/>
      <c r="L81" s="16"/>
      <c r="P81" s="16"/>
      <c r="Q81" s="16"/>
    </row>
  </sheetData>
  <mergeCells count="40">
    <mergeCell ref="A21:B21"/>
    <mergeCell ref="A7:B7"/>
    <mergeCell ref="A28:B28"/>
    <mergeCell ref="G7:H7"/>
    <mergeCell ref="B25:C25"/>
    <mergeCell ref="B14:C14"/>
    <mergeCell ref="M7:N7"/>
    <mergeCell ref="N55:O55"/>
    <mergeCell ref="H11:I11"/>
    <mergeCell ref="H13:I13"/>
    <mergeCell ref="H15:I15"/>
    <mergeCell ref="H21:I21"/>
    <mergeCell ref="H18:I18"/>
    <mergeCell ref="H19:I19"/>
    <mergeCell ref="N56:O56"/>
    <mergeCell ref="N59:O59"/>
    <mergeCell ref="N60:O60"/>
    <mergeCell ref="N11:O11"/>
    <mergeCell ref="N13:O13"/>
    <mergeCell ref="N40:O40"/>
    <mergeCell ref="N52:O52"/>
    <mergeCell ref="N15:O15"/>
    <mergeCell ref="N18:O18"/>
    <mergeCell ref="N19:O19"/>
    <mergeCell ref="A1:Q1"/>
    <mergeCell ref="B56:C56"/>
    <mergeCell ref="B59:C59"/>
    <mergeCell ref="B60:C60"/>
    <mergeCell ref="H32:I32"/>
    <mergeCell ref="H35:I35"/>
    <mergeCell ref="H36:I36"/>
    <mergeCell ref="H40:I40"/>
    <mergeCell ref="B39:C39"/>
    <mergeCell ref="B52:C52"/>
    <mergeCell ref="B55:C55"/>
    <mergeCell ref="B35:C35"/>
    <mergeCell ref="B36:C36"/>
    <mergeCell ref="H39:I39"/>
    <mergeCell ref="B40:C40"/>
    <mergeCell ref="B32:C32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R103"/>
  <sheetViews>
    <sheetView workbookViewId="0"/>
    <sheetView workbookViewId="1"/>
  </sheetViews>
  <sheetFormatPr defaultRowHeight="15" x14ac:dyDescent="0.25"/>
  <cols>
    <col min="2" max="2" width="11.85546875" customWidth="1"/>
    <col min="3" max="3" width="10" bestFit="1" customWidth="1"/>
    <col min="4" max="4" width="1.85546875" customWidth="1"/>
    <col min="5" max="5" width="10.5703125" style="59" bestFit="1" customWidth="1"/>
    <col min="6" max="6" width="9.42578125" bestFit="1" customWidth="1"/>
    <col min="7" max="7" width="9"/>
    <col min="8" max="8" width="10.42578125" bestFit="1" customWidth="1"/>
    <col min="9" max="9" width="10.85546875" bestFit="1" customWidth="1"/>
    <col min="10" max="10" width="1.85546875" customWidth="1"/>
    <col min="11" max="11" width="9.7109375" style="59" customWidth="1"/>
    <col min="12" max="12" width="11.28515625" customWidth="1"/>
    <col min="13" max="13" width="9"/>
    <col min="14" max="14" width="10.5703125" bestFit="1" customWidth="1"/>
    <col min="15" max="15" width="12" customWidth="1"/>
    <col min="16" max="16" width="1.85546875" customWidth="1"/>
    <col min="17" max="17" width="10.85546875" style="59" bestFit="1" customWidth="1"/>
    <col min="18" max="18" width="12" customWidth="1"/>
    <col min="20" max="20" width="3.42578125" style="47" customWidth="1"/>
    <col min="21" max="21" width="3.42578125" customWidth="1"/>
    <col min="22" max="22" width="10.5703125" bestFit="1" customWidth="1"/>
    <col min="23" max="23" width="11.28515625" customWidth="1"/>
    <col min="24" max="24" width="1.7109375" customWidth="1"/>
    <col min="25" max="25" width="10.42578125" bestFit="1" customWidth="1"/>
    <col min="26" max="26" width="10.85546875" customWidth="1"/>
    <col min="28" max="28" width="10.85546875" customWidth="1"/>
    <col min="29" max="29" width="11.28515625" customWidth="1"/>
    <col min="30" max="30" width="1.5703125" customWidth="1"/>
    <col min="31" max="31" width="10.7109375" bestFit="1" customWidth="1"/>
    <col min="32" max="32" width="11.140625" customWidth="1"/>
    <col min="34" max="34" width="10.7109375" bestFit="1" customWidth="1"/>
    <col min="35" max="35" width="9.85546875" bestFit="1" customWidth="1"/>
    <col min="36" max="36" width="1.140625" customWidth="1"/>
    <col min="37" max="37" width="10.5703125" bestFit="1" customWidth="1"/>
    <col min="38" max="38" width="9.42578125" bestFit="1" customWidth="1"/>
    <col min="40" max="40" width="11.28515625" bestFit="1" customWidth="1"/>
    <col min="41" max="41" width="11.28515625" customWidth="1"/>
    <col min="42" max="42" width="1.28515625" customWidth="1"/>
    <col min="43" max="43" width="9.140625" bestFit="1" customWidth="1"/>
    <col min="44" max="44" width="11.140625" customWidth="1"/>
  </cols>
  <sheetData>
    <row r="1" spans="2:44" x14ac:dyDescent="0.25">
      <c r="B1" s="251" t="s">
        <v>119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V1" s="263" t="s">
        <v>120</v>
      </c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</row>
    <row r="2" spans="2:44" ht="18.75" x14ac:dyDescent="0.25">
      <c r="B2" s="174" t="s">
        <v>348</v>
      </c>
      <c r="Y2" s="59"/>
      <c r="AE2" s="59"/>
      <c r="AK2" s="59"/>
    </row>
    <row r="3" spans="2:44" x14ac:dyDescent="0.25">
      <c r="Y3" s="59"/>
      <c r="AE3" s="59"/>
      <c r="AK3" s="59"/>
    </row>
    <row r="4" spans="2:44" ht="27.75" customHeight="1" x14ac:dyDescent="0.25">
      <c r="B4" s="264" t="s">
        <v>11</v>
      </c>
      <c r="C4" s="264"/>
      <c r="D4" s="264"/>
      <c r="E4" s="264"/>
      <c r="F4" s="264"/>
      <c r="H4" s="265" t="s">
        <v>214</v>
      </c>
      <c r="I4" s="264"/>
      <c r="J4" s="264"/>
      <c r="K4" s="264"/>
      <c r="L4" s="264"/>
      <c r="N4" s="264" t="s">
        <v>24</v>
      </c>
      <c r="O4" s="264"/>
      <c r="P4" s="264"/>
      <c r="Q4" s="264"/>
      <c r="R4" s="264"/>
      <c r="V4" s="264" t="s">
        <v>11</v>
      </c>
      <c r="W4" s="264"/>
      <c r="X4" s="264"/>
      <c r="Y4" s="264"/>
      <c r="Z4" s="264"/>
      <c r="AB4" s="264" t="s">
        <v>24</v>
      </c>
      <c r="AC4" s="264"/>
      <c r="AD4" s="264"/>
      <c r="AE4" s="264"/>
      <c r="AF4" s="264"/>
      <c r="AH4" s="264" t="s">
        <v>23</v>
      </c>
      <c r="AI4" s="264"/>
      <c r="AJ4" s="264"/>
      <c r="AK4" s="264"/>
      <c r="AL4" s="264"/>
      <c r="AN4" s="264" t="s">
        <v>36</v>
      </c>
      <c r="AO4" s="264"/>
      <c r="AP4" s="264"/>
      <c r="AQ4" s="264"/>
      <c r="AR4" s="264"/>
    </row>
    <row r="5" spans="2:44" x14ac:dyDescent="0.25">
      <c r="C5" s="79"/>
      <c r="I5" s="79"/>
      <c r="O5" s="79"/>
      <c r="W5" s="79"/>
      <c r="Y5" s="59"/>
      <c r="AC5" s="79"/>
      <c r="AE5" s="59"/>
      <c r="AI5" s="79"/>
      <c r="AK5" s="59"/>
      <c r="AO5" s="79"/>
      <c r="AQ5" s="59"/>
    </row>
    <row r="6" spans="2:44" x14ac:dyDescent="0.25">
      <c r="C6" s="135"/>
      <c r="D6" s="136"/>
      <c r="I6" s="135"/>
      <c r="J6" s="136"/>
      <c r="N6" t="s">
        <v>113</v>
      </c>
      <c r="O6" s="135">
        <v>200000</v>
      </c>
      <c r="P6" s="136"/>
      <c r="Q6" s="37">
        <v>43952</v>
      </c>
      <c r="R6" s="134">
        <f>+'Ex. 2 Entries -City'!E15</f>
        <v>200000</v>
      </c>
      <c r="W6" s="80"/>
      <c r="X6" s="67"/>
      <c r="Y6" s="59"/>
      <c r="AC6" s="80"/>
      <c r="AD6" s="67"/>
      <c r="AE6" s="59"/>
      <c r="AF6" s="1"/>
      <c r="AI6" s="80"/>
      <c r="AK6" s="59"/>
      <c r="AL6" s="83"/>
      <c r="AO6" s="80"/>
      <c r="AQ6" s="59"/>
      <c r="AR6" s="83"/>
    </row>
    <row r="7" spans="2:44" x14ac:dyDescent="0.25">
      <c r="B7" s="37">
        <v>43952</v>
      </c>
      <c r="C7" s="135">
        <f>+'Ex. 2 Entries -City'!D7</f>
        <v>185000</v>
      </c>
      <c r="D7" s="106"/>
      <c r="H7" s="37">
        <v>43952</v>
      </c>
      <c r="I7" s="135">
        <f>+'Ex. 2 Entries -City'!D11</f>
        <v>15000</v>
      </c>
      <c r="K7" s="86">
        <v>44742</v>
      </c>
      <c r="L7" s="134">
        <f>+'Ex. 2 Entries -City'!E33</f>
        <v>15000</v>
      </c>
      <c r="N7" s="86">
        <v>44742</v>
      </c>
      <c r="O7" s="133">
        <f>+'Ex. 2 Entries -City'!D28</f>
        <v>31330</v>
      </c>
      <c r="P7" s="16"/>
      <c r="R7" s="134"/>
      <c r="V7" s="37" t="s">
        <v>164</v>
      </c>
      <c r="W7" s="81">
        <f>+'Ex. 2 Entries - Corp'!D8</f>
        <v>185000</v>
      </c>
      <c r="X7" s="1"/>
      <c r="Y7" s="37" t="s">
        <v>156</v>
      </c>
      <c r="Z7" s="1">
        <f>+'Ex. 2 Entries - Corp'!E18</f>
        <v>185000</v>
      </c>
      <c r="AB7" s="37" t="s">
        <v>156</v>
      </c>
      <c r="AC7" s="81">
        <f>+'Ex. 2 Entries - Corp'!D14</f>
        <v>200000</v>
      </c>
      <c r="AI7" s="81"/>
      <c r="AK7" s="86" t="s">
        <v>156</v>
      </c>
      <c r="AL7" s="1">
        <f>+'Ex. 2 Entries - Corp'!E16</f>
        <v>10000</v>
      </c>
      <c r="AN7" t="s">
        <v>167</v>
      </c>
      <c r="AO7" s="81">
        <f>+'Ex. 2 Entries - Corp'!D43</f>
        <v>10000</v>
      </c>
      <c r="AQ7" s="86" t="s">
        <v>164</v>
      </c>
      <c r="AR7" s="1">
        <f>+'Ex. 2 Entries - Corp'!E10</f>
        <v>190000</v>
      </c>
    </row>
    <row r="8" spans="2:44" x14ac:dyDescent="0.25">
      <c r="B8" s="90">
        <v>44742</v>
      </c>
      <c r="C8" s="133">
        <f>+'Ex. 2 Entries -City'!D27</f>
        <v>310</v>
      </c>
      <c r="I8" s="133"/>
      <c r="N8" t="s">
        <v>190</v>
      </c>
      <c r="O8" s="133">
        <f>+'Ex. 2 Entries -City'!D43</f>
        <v>2747.2175741528081</v>
      </c>
      <c r="P8" s="16"/>
      <c r="Q8"/>
      <c r="R8" s="106"/>
      <c r="V8" s="37" t="s">
        <v>165</v>
      </c>
      <c r="W8" s="81">
        <f>+'Ex. 2 Entries - Corp'!D36</f>
        <v>11968</v>
      </c>
      <c r="Y8" s="86" t="s">
        <v>167</v>
      </c>
      <c r="Z8" s="1">
        <f>+'Ex. 2 Entries - Corp'!E45</f>
        <v>11563</v>
      </c>
      <c r="AB8" s="37" t="s">
        <v>157</v>
      </c>
      <c r="AC8" s="81">
        <f>+'Ex. 2 Entries - Corp'!D22</f>
        <v>20000</v>
      </c>
      <c r="AH8" s="90"/>
      <c r="AI8" s="81"/>
      <c r="AK8" s="86" t="s">
        <v>157</v>
      </c>
      <c r="AL8" s="1">
        <f>+'Ex. 2 Entries - Corp'!E23</f>
        <v>1000</v>
      </c>
      <c r="AN8" t="s">
        <v>171</v>
      </c>
      <c r="AO8" s="81">
        <f>+'Ex. 2 Entries - Corp'!J22</f>
        <v>88000</v>
      </c>
      <c r="AQ8" s="59"/>
      <c r="AR8" s="1"/>
    </row>
    <row r="9" spans="2:44" x14ac:dyDescent="0.25">
      <c r="B9" t="s">
        <v>198</v>
      </c>
      <c r="C9" s="133">
        <f>+'Ex. 2 Entries -City'!D50</f>
        <v>13827</v>
      </c>
      <c r="I9" s="133"/>
      <c r="O9" s="82"/>
      <c r="Q9" s="59" t="s">
        <v>198</v>
      </c>
      <c r="R9" s="106">
        <f>+'Ex. 2 Entries -City'!E54</f>
        <v>13827</v>
      </c>
      <c r="V9" s="37" t="s">
        <v>170</v>
      </c>
      <c r="W9" s="81">
        <f>+'Ex. 2 Entries - Corp'!J15</f>
        <v>95713</v>
      </c>
      <c r="Y9" s="86" t="s">
        <v>171</v>
      </c>
      <c r="Z9" s="1">
        <f>+'Ex. 2 Entries - Corp'!K24</f>
        <v>95292</v>
      </c>
      <c r="AB9" s="86" t="s">
        <v>166</v>
      </c>
      <c r="AC9" s="81">
        <f>+'Ex. 2 Entries - Corp'!D29</f>
        <v>4355</v>
      </c>
      <c r="AE9" s="59" t="s">
        <v>165</v>
      </c>
      <c r="AF9" s="1">
        <f>+'Ex. 2 Entries - Corp'!E38</f>
        <v>13298</v>
      </c>
      <c r="AH9" s="90"/>
      <c r="AI9" s="81"/>
      <c r="AK9" s="86" t="s">
        <v>166</v>
      </c>
      <c r="AL9" s="1">
        <f>+'Ex. 2 Entries - Corp'!E30</f>
        <v>218</v>
      </c>
      <c r="AN9" t="s">
        <v>174</v>
      </c>
      <c r="AO9" s="81">
        <f>+'Ex. 2 Entries - Corp'!P22</f>
        <v>92000</v>
      </c>
      <c r="AQ9" s="59"/>
    </row>
    <row r="10" spans="2:44" x14ac:dyDescent="0.25">
      <c r="C10" s="133"/>
      <c r="I10" s="133"/>
      <c r="O10" s="82"/>
      <c r="V10" s="37" t="s">
        <v>173</v>
      </c>
      <c r="W10" s="81">
        <f>+'Ex. 2 Entries - Corp'!P15</f>
        <v>93663</v>
      </c>
      <c r="Y10" s="86" t="s">
        <v>174</v>
      </c>
      <c r="Z10" s="1">
        <f>+'Ex. 2 Entries - Corp'!Q24</f>
        <v>94179</v>
      </c>
      <c r="AB10" s="86" t="s">
        <v>169</v>
      </c>
      <c r="AC10" s="81">
        <f>+'Ex. 2 Entries - Corp'!J8</f>
        <v>21530</v>
      </c>
      <c r="AE10" s="59" t="s">
        <v>170</v>
      </c>
      <c r="AF10" s="1">
        <f>+'Ex. 2 Entries - Corp'!K17</f>
        <v>106348</v>
      </c>
      <c r="AH10" s="90"/>
      <c r="AI10" s="81"/>
      <c r="AK10" s="86" t="s">
        <v>169</v>
      </c>
      <c r="AL10" s="1">
        <f>+'Ex. 2 Entries - Corp'!K9</f>
        <v>1077</v>
      </c>
      <c r="AO10" s="81"/>
      <c r="AQ10" s="59"/>
    </row>
    <row r="11" spans="2:44" x14ac:dyDescent="0.25">
      <c r="C11" s="133"/>
      <c r="I11" s="133"/>
      <c r="O11" s="82"/>
      <c r="V11" s="37"/>
      <c r="W11" s="81"/>
      <c r="Y11" s="86" t="s">
        <v>175</v>
      </c>
      <c r="Z11" s="1">
        <f>+'Ex. 2 Entries - Corp'!Q33</f>
        <v>310</v>
      </c>
      <c r="AB11" s="86" t="s">
        <v>172</v>
      </c>
      <c r="AC11" s="81">
        <f>+'Ex. 2 Entries - Corp'!P8</f>
        <v>9161</v>
      </c>
      <c r="AE11" s="59" t="s">
        <v>173</v>
      </c>
      <c r="AF11" s="1">
        <f>+'Ex. 2 Entries - Corp'!Q17</f>
        <v>104070</v>
      </c>
      <c r="AH11" s="90"/>
      <c r="AI11" s="81"/>
      <c r="AK11" s="86" t="s">
        <v>172</v>
      </c>
      <c r="AL11" s="1">
        <f>+'Ex. 2 Entries - Corp'!Q9</f>
        <v>458</v>
      </c>
      <c r="AO11" s="81"/>
      <c r="AQ11" s="59"/>
    </row>
    <row r="12" spans="2:44" x14ac:dyDescent="0.25">
      <c r="C12" s="133"/>
      <c r="I12" s="133"/>
      <c r="O12" s="82"/>
      <c r="V12" s="37"/>
      <c r="W12" s="81"/>
      <c r="Y12" s="90"/>
      <c r="Z12" s="1"/>
      <c r="AB12" s="86"/>
      <c r="AC12" s="81"/>
      <c r="AE12" s="59" t="s">
        <v>175</v>
      </c>
      <c r="AF12" s="1">
        <f>+'Ex. 2 Entries - Corp'!Q32</f>
        <v>31330</v>
      </c>
      <c r="AH12" s="86" t="s">
        <v>175</v>
      </c>
      <c r="AI12" s="81">
        <f>+'Ex. 2 Entries - Corp'!P29</f>
        <v>12753</v>
      </c>
      <c r="AK12" s="86"/>
      <c r="AL12" s="1"/>
      <c r="AO12" s="81"/>
      <c r="AQ12" s="59"/>
    </row>
    <row r="13" spans="2:44" x14ac:dyDescent="0.25">
      <c r="C13" s="133"/>
      <c r="I13" s="133"/>
      <c r="O13" s="82"/>
      <c r="V13" s="37"/>
      <c r="W13" s="81"/>
      <c r="Y13" s="90"/>
      <c r="Z13" s="1"/>
      <c r="AB13" s="86"/>
      <c r="AC13" s="81"/>
      <c r="AE13" s="90"/>
      <c r="AF13" s="1"/>
      <c r="AH13" s="90"/>
      <c r="AI13" s="81"/>
      <c r="AK13" s="86"/>
      <c r="AL13" s="1"/>
      <c r="AO13" s="81"/>
      <c r="AQ13" s="59"/>
    </row>
    <row r="14" spans="2:44" x14ac:dyDescent="0.25">
      <c r="C14" s="133"/>
      <c r="I14" s="133"/>
      <c r="O14" s="82"/>
      <c r="V14" s="37"/>
      <c r="W14" s="81"/>
      <c r="Y14" s="59"/>
      <c r="Z14" s="1"/>
      <c r="AB14" s="86"/>
      <c r="AC14" s="81"/>
      <c r="AE14" s="90"/>
      <c r="AF14" s="1"/>
      <c r="AH14" s="90"/>
      <c r="AI14" s="81"/>
      <c r="AK14" s="86"/>
      <c r="AO14" s="81"/>
      <c r="AQ14" s="59"/>
    </row>
    <row r="15" spans="2:44" x14ac:dyDescent="0.25">
      <c r="C15" s="133"/>
      <c r="I15" s="133"/>
      <c r="O15" s="82"/>
      <c r="V15" s="37"/>
      <c r="W15" s="81"/>
      <c r="Y15" s="59"/>
      <c r="Z15" s="1"/>
      <c r="AB15" s="86"/>
      <c r="AC15" s="81"/>
      <c r="AE15" s="90"/>
      <c r="AF15" s="1"/>
      <c r="AH15" s="90"/>
      <c r="AI15" s="81"/>
      <c r="AK15" s="86"/>
      <c r="AO15" s="81"/>
      <c r="AQ15" s="59"/>
    </row>
    <row r="16" spans="2:44" x14ac:dyDescent="0.25">
      <c r="C16" s="133"/>
      <c r="D16" s="88"/>
      <c r="E16" s="89"/>
      <c r="F16" s="30"/>
      <c r="I16" s="133"/>
      <c r="J16" s="88"/>
      <c r="K16" s="89"/>
      <c r="L16" s="30"/>
      <c r="O16" s="84"/>
      <c r="P16" s="88"/>
      <c r="Q16" s="89"/>
      <c r="R16" s="30"/>
      <c r="W16" s="81"/>
      <c r="X16" s="88"/>
      <c r="Y16" s="89"/>
      <c r="Z16" s="30"/>
      <c r="AC16" s="81"/>
      <c r="AD16" s="88"/>
      <c r="AE16" s="89"/>
      <c r="AF16" s="30"/>
      <c r="AI16" s="81"/>
      <c r="AJ16" s="88"/>
      <c r="AK16" s="89"/>
      <c r="AL16" s="30"/>
      <c r="AO16" s="81"/>
      <c r="AP16" s="88"/>
      <c r="AQ16" s="89"/>
      <c r="AR16" s="30"/>
    </row>
    <row r="17" spans="2:44" ht="15.75" thickBot="1" x14ac:dyDescent="0.3">
      <c r="C17" s="85">
        <f>SUM(C6:C16)</f>
        <v>199137</v>
      </c>
      <c r="F17" s="85">
        <f>SUM(F6:F16)</f>
        <v>0</v>
      </c>
      <c r="I17" s="85">
        <f>SUM(I6:I16)</f>
        <v>15000</v>
      </c>
      <c r="L17" s="85">
        <f>SUM(L6:L16)</f>
        <v>15000</v>
      </c>
      <c r="O17" s="85">
        <f>SUM(O6:O16)</f>
        <v>234077.2175741528</v>
      </c>
      <c r="R17" s="85">
        <f>SUM(R6:R16)</f>
        <v>213827</v>
      </c>
      <c r="W17" s="85">
        <f>SUM(W6:W16)</f>
        <v>386344</v>
      </c>
      <c r="Y17" s="59"/>
      <c r="Z17" s="85">
        <f>SUM(Z6:Z16)</f>
        <v>386344</v>
      </c>
      <c r="AC17" s="85">
        <f>SUM(AC6:AC16)</f>
        <v>255046</v>
      </c>
      <c r="AE17" s="59"/>
      <c r="AF17" s="85">
        <f>SUM(AF6:AF16)</f>
        <v>255046</v>
      </c>
      <c r="AI17" s="85">
        <f>SUM(AI6:AI16)</f>
        <v>12753</v>
      </c>
      <c r="AK17" s="59"/>
      <c r="AL17" s="85">
        <f>SUM(AL6:AL16)</f>
        <v>12753</v>
      </c>
      <c r="AO17" s="85">
        <f>SUM(AO6:AO16)</f>
        <v>190000</v>
      </c>
      <c r="AQ17" s="59"/>
      <c r="AR17" s="85">
        <f>SUM(AR6:AR16)</f>
        <v>190000</v>
      </c>
    </row>
    <row r="18" spans="2:44" ht="15.75" thickBot="1" x14ac:dyDescent="0.3">
      <c r="C18" s="87">
        <f>+C17-F17</f>
        <v>199137</v>
      </c>
      <c r="I18" s="87">
        <f>+I17-L17</f>
        <v>0</v>
      </c>
      <c r="O18" s="87">
        <f>+O17-R17</f>
        <v>20250.217574152804</v>
      </c>
      <c r="W18" s="87">
        <f>+W17-Z17</f>
        <v>0</v>
      </c>
      <c r="Y18" s="59"/>
      <c r="AC18" s="87">
        <f>+AC17-AF17</f>
        <v>0</v>
      </c>
      <c r="AE18" s="59"/>
      <c r="AI18" s="68"/>
      <c r="AK18" s="59"/>
      <c r="AL18" s="87">
        <f>+AL17-AI17</f>
        <v>0</v>
      </c>
      <c r="AO18" s="68"/>
      <c r="AQ18" s="59"/>
      <c r="AR18" s="87">
        <f>+AR17-AO17</f>
        <v>0</v>
      </c>
    </row>
    <row r="19" spans="2:44" x14ac:dyDescent="0.25">
      <c r="Y19" s="59"/>
      <c r="AE19" s="59"/>
      <c r="AK19" s="59"/>
    </row>
    <row r="20" spans="2:44" x14ac:dyDescent="0.25">
      <c r="Y20" s="59"/>
      <c r="AE20" s="59"/>
      <c r="AK20" s="59"/>
    </row>
    <row r="21" spans="2:44" ht="27.75" customHeight="1" x14ac:dyDescent="0.25">
      <c r="B21" s="264" t="s">
        <v>23</v>
      </c>
      <c r="C21" s="264"/>
      <c r="D21" s="264"/>
      <c r="E21" s="264"/>
      <c r="F21" s="264"/>
      <c r="H21" s="265" t="s">
        <v>152</v>
      </c>
      <c r="I21" s="265"/>
      <c r="J21" s="265"/>
      <c r="K21" s="265"/>
      <c r="L21" s="265"/>
      <c r="N21" s="265" t="s">
        <v>151</v>
      </c>
      <c r="O21" s="265"/>
      <c r="P21" s="265"/>
      <c r="Q21" s="265"/>
      <c r="R21" s="265"/>
      <c r="V21" s="264" t="s">
        <v>155</v>
      </c>
      <c r="W21" s="264"/>
      <c r="X21" s="264"/>
      <c r="Y21" s="264"/>
      <c r="Z21" s="264"/>
      <c r="AB21" s="265" t="s">
        <v>116</v>
      </c>
      <c r="AC21" s="264"/>
      <c r="AD21" s="264"/>
      <c r="AE21" s="264"/>
      <c r="AF21" s="264"/>
      <c r="AH21" s="265" t="s">
        <v>114</v>
      </c>
      <c r="AI21" s="264"/>
      <c r="AJ21" s="264"/>
      <c r="AK21" s="264"/>
      <c r="AL21" s="264"/>
      <c r="AN21" s="265" t="s">
        <v>115</v>
      </c>
      <c r="AO21" s="264"/>
      <c r="AP21" s="264"/>
      <c r="AQ21" s="264"/>
      <c r="AR21" s="264"/>
    </row>
    <row r="22" spans="2:44" x14ac:dyDescent="0.25">
      <c r="C22" s="79"/>
      <c r="I22" s="79"/>
      <c r="O22" s="79"/>
      <c r="W22" s="79"/>
      <c r="Y22" s="59"/>
      <c r="AC22" s="79"/>
      <c r="AE22" s="59"/>
      <c r="AI22" s="79"/>
      <c r="AK22" s="59"/>
      <c r="AO22" s="79"/>
      <c r="AQ22" s="59"/>
    </row>
    <row r="23" spans="2:44" x14ac:dyDescent="0.25">
      <c r="C23" s="135"/>
      <c r="E23" s="59" t="s">
        <v>113</v>
      </c>
      <c r="F23" s="134">
        <v>10000</v>
      </c>
      <c r="H23" s="37">
        <v>43952</v>
      </c>
      <c r="I23" s="135">
        <f>+'Ex. 2 Entries -City'!D10</f>
        <v>150000</v>
      </c>
      <c r="K23" s="59" t="s">
        <v>113</v>
      </c>
      <c r="L23" s="134">
        <v>150000</v>
      </c>
      <c r="N23" s="37">
        <v>44742</v>
      </c>
      <c r="O23" s="135">
        <f>+'Ex. 2 Entries -City'!D29</f>
        <v>15000</v>
      </c>
      <c r="Q23" s="86">
        <v>43952</v>
      </c>
      <c r="R23" s="134">
        <f>+'Ex. 2 Entries -City'!E14</f>
        <v>15000</v>
      </c>
      <c r="W23" s="81"/>
      <c r="Y23" s="59"/>
      <c r="Z23" s="83"/>
      <c r="AC23" s="82"/>
      <c r="AE23" s="59" t="s">
        <v>157</v>
      </c>
      <c r="AF23" s="83">
        <f>+'Ex. 2 Entries - Corp'!E24</f>
        <v>19000</v>
      </c>
      <c r="AH23" t="s">
        <v>164</v>
      </c>
      <c r="AI23" s="80">
        <f>+'Ex. 2 Entries - Corp'!D9</f>
        <v>5000</v>
      </c>
      <c r="AJ23" s="67"/>
      <c r="AK23" s="59"/>
      <c r="AN23" s="37" t="s">
        <v>165</v>
      </c>
      <c r="AO23" s="80">
        <f>+'Ex. 2 Entries - Corp'!D37</f>
        <v>1330</v>
      </c>
      <c r="AP23" s="67"/>
      <c r="AQ23" s="86"/>
      <c r="AR23" s="83"/>
    </row>
    <row r="24" spans="2:44" x14ac:dyDescent="0.25">
      <c r="B24" s="37">
        <v>43952</v>
      </c>
      <c r="C24" s="135">
        <f>+'Ex. 2 Entries -City'!D8</f>
        <v>10000</v>
      </c>
      <c r="E24" s="86">
        <v>44742</v>
      </c>
      <c r="F24" s="106">
        <f>+'Ex. 2 Entries -City'!E30</f>
        <v>12753</v>
      </c>
      <c r="H24" s="37">
        <v>45107</v>
      </c>
      <c r="I24" s="133">
        <f>+'Ex. 2 Entries -City'!D52</f>
        <v>13827</v>
      </c>
      <c r="K24" s="86">
        <v>44742</v>
      </c>
      <c r="L24" s="106">
        <f>+'Ex. 2 Entries -City'!E32</f>
        <v>18577</v>
      </c>
      <c r="O24" s="82"/>
      <c r="Q24" s="86"/>
      <c r="R24" s="106"/>
      <c r="W24" s="81"/>
      <c r="Y24" s="86" t="s">
        <v>156</v>
      </c>
      <c r="Z24" s="1">
        <f>+'Ex. 2 Entries - Corp'!E17</f>
        <v>15000</v>
      </c>
      <c r="AC24" s="82"/>
      <c r="AE24" s="37" t="s">
        <v>166</v>
      </c>
      <c r="AF24" s="1">
        <f>+'Ex. 2 Entries - Corp'!E31</f>
        <v>4137</v>
      </c>
      <c r="AI24" s="81"/>
      <c r="AJ24" s="1"/>
      <c r="AK24" s="59"/>
      <c r="AN24" s="37" t="s">
        <v>170</v>
      </c>
      <c r="AO24" s="81">
        <f>+'Ex. 2 Entries - Corp'!J16</f>
        <v>10635</v>
      </c>
    </row>
    <row r="25" spans="2:44" x14ac:dyDescent="0.25">
      <c r="C25" s="133"/>
      <c r="E25" s="59" t="s">
        <v>190</v>
      </c>
      <c r="F25" s="106">
        <f>+'Ex. 2 Entries -City'!E44</f>
        <v>137.36087870764044</v>
      </c>
      <c r="I25" s="133"/>
      <c r="O25" s="82"/>
      <c r="V25" s="37" t="s">
        <v>175</v>
      </c>
      <c r="W25" s="81">
        <f>+'Ex. 2 Entries - Corp'!P30</f>
        <v>15000</v>
      </c>
      <c r="Y25" s="59"/>
      <c r="Z25" s="1"/>
      <c r="AC25" s="82"/>
      <c r="AE25" s="37" t="s">
        <v>169</v>
      </c>
      <c r="AF25" s="1">
        <f>+'Ex. 2 Entries - Corp'!K10</f>
        <v>20453</v>
      </c>
      <c r="AI25" s="81"/>
      <c r="AK25" s="59"/>
      <c r="AN25" s="37" t="s">
        <v>173</v>
      </c>
      <c r="AO25" s="81">
        <f>+'Ex. 2 Entries - Corp'!P16</f>
        <v>10407</v>
      </c>
      <c r="AQ25" s="59"/>
    </row>
    <row r="26" spans="2:44" x14ac:dyDescent="0.25">
      <c r="C26" s="133"/>
      <c r="I26" s="133"/>
      <c r="O26" s="82"/>
      <c r="V26" s="90"/>
      <c r="W26" s="81"/>
      <c r="Y26" s="59"/>
      <c r="AC26" s="82"/>
      <c r="AE26" s="37" t="s">
        <v>172</v>
      </c>
      <c r="AF26" s="1">
        <f>+'Ex. 2 Entries - Corp'!Q10</f>
        <v>8703</v>
      </c>
      <c r="AI26" s="81"/>
      <c r="AK26" s="59"/>
      <c r="AN26" s="37"/>
      <c r="AO26" s="81"/>
      <c r="AQ26" s="59"/>
    </row>
    <row r="27" spans="2:44" x14ac:dyDescent="0.25">
      <c r="C27" s="133"/>
      <c r="I27" s="82"/>
      <c r="O27" s="82"/>
      <c r="V27" s="90"/>
      <c r="W27" s="81"/>
      <c r="Y27" s="59"/>
      <c r="AC27" s="82"/>
      <c r="AE27" s="37"/>
      <c r="AF27" s="1"/>
      <c r="AI27" s="81"/>
      <c r="AK27" s="59"/>
      <c r="AN27" s="37"/>
      <c r="AO27" s="81"/>
      <c r="AQ27" s="59"/>
    </row>
    <row r="28" spans="2:44" x14ac:dyDescent="0.25">
      <c r="C28" s="133"/>
      <c r="I28" s="82"/>
      <c r="O28" s="82"/>
      <c r="V28" s="90"/>
      <c r="W28" s="81"/>
      <c r="Y28" s="59"/>
      <c r="AC28" s="82"/>
      <c r="AE28" s="37"/>
      <c r="AF28" s="1"/>
      <c r="AG28" s="68"/>
      <c r="AI28" s="81"/>
      <c r="AK28" s="59"/>
      <c r="AN28" s="37"/>
      <c r="AO28" s="81"/>
      <c r="AQ28" s="59"/>
    </row>
    <row r="29" spans="2:44" x14ac:dyDescent="0.25">
      <c r="C29" s="133"/>
      <c r="I29" s="82"/>
      <c r="O29" s="82"/>
      <c r="V29" s="90"/>
      <c r="W29" s="81"/>
      <c r="Y29" s="59"/>
      <c r="AC29" s="82"/>
      <c r="AE29" s="37"/>
      <c r="AF29" s="1"/>
      <c r="AG29" s="68"/>
      <c r="AI29" s="81"/>
      <c r="AK29" s="59"/>
      <c r="AN29" s="37"/>
      <c r="AO29" s="81"/>
      <c r="AQ29" s="59"/>
    </row>
    <row r="30" spans="2:44" x14ac:dyDescent="0.25">
      <c r="C30" s="133"/>
      <c r="I30" s="82"/>
      <c r="O30" s="82"/>
      <c r="V30" s="90"/>
      <c r="W30" s="81"/>
      <c r="Y30" s="59"/>
      <c r="AC30" s="82"/>
      <c r="AE30" s="37"/>
      <c r="AF30" s="1"/>
      <c r="AI30" s="81"/>
      <c r="AK30" s="59"/>
      <c r="AN30" s="37"/>
      <c r="AO30" s="81"/>
      <c r="AQ30" s="59"/>
    </row>
    <row r="31" spans="2:44" x14ac:dyDescent="0.25">
      <c r="C31" s="133"/>
      <c r="I31" s="82"/>
      <c r="O31" s="82"/>
      <c r="V31" s="90"/>
      <c r="W31" s="81"/>
      <c r="Y31" s="59"/>
      <c r="AC31" s="82"/>
      <c r="AE31" s="37"/>
      <c r="AF31" s="1"/>
      <c r="AI31" s="81"/>
      <c r="AK31" s="59"/>
      <c r="AN31" s="37"/>
      <c r="AO31" s="81"/>
      <c r="AQ31" s="59"/>
    </row>
    <row r="32" spans="2:44" x14ac:dyDescent="0.25">
      <c r="C32" s="133"/>
      <c r="I32" s="82"/>
      <c r="O32" s="82"/>
      <c r="V32" s="90"/>
      <c r="W32" s="81"/>
      <c r="Y32" s="59"/>
      <c r="AC32" s="82"/>
      <c r="AE32" s="37"/>
      <c r="AF32" s="1"/>
      <c r="AI32" s="81"/>
      <c r="AK32" s="59"/>
      <c r="AN32" s="37"/>
      <c r="AO32" s="81"/>
      <c r="AQ32" s="59"/>
    </row>
    <row r="33" spans="2:44" x14ac:dyDescent="0.25">
      <c r="C33" s="133"/>
      <c r="D33" s="88"/>
      <c r="E33" s="89"/>
      <c r="F33" s="30"/>
      <c r="I33" s="84"/>
      <c r="J33" s="88"/>
      <c r="K33" s="89"/>
      <c r="L33" s="30"/>
      <c r="O33" s="84"/>
      <c r="P33" s="88"/>
      <c r="Q33" s="89"/>
      <c r="R33" s="30"/>
      <c r="W33" s="81"/>
      <c r="X33" s="88"/>
      <c r="Y33" s="89"/>
      <c r="Z33" s="30"/>
      <c r="AC33" s="84"/>
      <c r="AD33" s="88"/>
      <c r="AE33" s="89"/>
      <c r="AF33" s="30"/>
      <c r="AI33" s="81"/>
      <c r="AJ33" s="88"/>
      <c r="AK33" s="89"/>
      <c r="AL33" s="30"/>
      <c r="AN33" s="90"/>
      <c r="AO33" s="81"/>
      <c r="AP33" s="88"/>
      <c r="AQ33" s="89"/>
      <c r="AR33" s="30"/>
    </row>
    <row r="34" spans="2:44" ht="15.75" thickBot="1" x14ac:dyDescent="0.3">
      <c r="C34" s="85">
        <f>SUM(C23:C33)</f>
        <v>10000</v>
      </c>
      <c r="F34" s="85">
        <f>SUM(F23:F33)</f>
        <v>22890.360878707641</v>
      </c>
      <c r="I34" s="85">
        <f>SUM(I23:I33)</f>
        <v>163827</v>
      </c>
      <c r="L34" s="85">
        <f>SUM(L23:L33)</f>
        <v>168577</v>
      </c>
      <c r="O34" s="85">
        <f>SUM(O23:O33)</f>
        <v>15000</v>
      </c>
      <c r="R34" s="85">
        <f>SUM(R23:R33)</f>
        <v>15000</v>
      </c>
      <c r="W34" s="85">
        <f>SUM(W23:W33)</f>
        <v>15000</v>
      </c>
      <c r="Y34" s="59"/>
      <c r="Z34" s="85">
        <f>SUM(Z23:Z33)</f>
        <v>15000</v>
      </c>
      <c r="AC34" s="85">
        <f>SUM(AC23:AC33)</f>
        <v>0</v>
      </c>
      <c r="AE34" s="59"/>
      <c r="AF34" s="85">
        <f>SUM(AF23:AF33)</f>
        <v>52293</v>
      </c>
      <c r="AI34" s="85">
        <f>SUM(AI23:AI33)</f>
        <v>5000</v>
      </c>
      <c r="AK34" s="59"/>
      <c r="AL34" s="85">
        <f>SUM(AL23:AL33)</f>
        <v>0</v>
      </c>
      <c r="AO34" s="85">
        <f>SUM(AO23:AO33)</f>
        <v>22372</v>
      </c>
      <c r="AQ34" s="59"/>
      <c r="AR34" s="85">
        <f>SUM(AR23:AR33)</f>
        <v>0</v>
      </c>
    </row>
    <row r="35" spans="2:44" ht="15.75" thickBot="1" x14ac:dyDescent="0.3">
      <c r="C35" s="68"/>
      <c r="F35" s="87">
        <f>+F34-C34</f>
        <v>12890.360878707641</v>
      </c>
      <c r="I35" s="68"/>
      <c r="L35" s="87">
        <f>+L34-I34</f>
        <v>4750</v>
      </c>
      <c r="O35" s="68"/>
      <c r="R35" s="87">
        <f>+R34-O34</f>
        <v>0</v>
      </c>
      <c r="W35" s="68"/>
      <c r="Y35" s="59"/>
      <c r="Z35" s="87">
        <f>+Z34-W34</f>
        <v>0</v>
      </c>
      <c r="AC35" s="68"/>
      <c r="AE35" s="59"/>
      <c r="AF35" s="112">
        <f>+AF34-AC34</f>
        <v>52293</v>
      </c>
      <c r="AI35" s="111">
        <f>+AI34-AL34</f>
        <v>5000</v>
      </c>
      <c r="AK35" s="59"/>
      <c r="AO35" s="115">
        <f>+AO34-AR34</f>
        <v>22372</v>
      </c>
      <c r="AQ35" s="59"/>
    </row>
    <row r="36" spans="2:44" x14ac:dyDescent="0.25">
      <c r="O36" s="68"/>
      <c r="Y36" s="59"/>
      <c r="AE36" s="59"/>
      <c r="AI36" s="68"/>
      <c r="AK36" s="59"/>
    </row>
    <row r="37" spans="2:44" x14ac:dyDescent="0.25">
      <c r="Y37" s="59"/>
      <c r="AE37" s="59"/>
      <c r="AK37" s="59"/>
    </row>
    <row r="38" spans="2:44" ht="28.15" customHeight="1" x14ac:dyDescent="0.25">
      <c r="B38" s="265" t="s">
        <v>194</v>
      </c>
      <c r="C38" s="264"/>
      <c r="D38" s="264"/>
      <c r="E38" s="264"/>
      <c r="F38" s="264"/>
      <c r="H38" s="265" t="s">
        <v>195</v>
      </c>
      <c r="I38" s="265"/>
      <c r="J38" s="265"/>
      <c r="K38" s="265"/>
      <c r="L38" s="265"/>
      <c r="N38" s="265" t="s">
        <v>197</v>
      </c>
      <c r="O38" s="265"/>
      <c r="P38" s="265"/>
      <c r="Q38" s="265"/>
      <c r="R38" s="265"/>
      <c r="V38" s="265" t="s">
        <v>182</v>
      </c>
      <c r="W38" s="265"/>
      <c r="X38" s="265"/>
      <c r="Y38" s="265"/>
      <c r="Z38" s="265"/>
      <c r="AB38" s="265" t="s">
        <v>183</v>
      </c>
      <c r="AC38" s="264"/>
      <c r="AD38" s="264"/>
      <c r="AE38" s="264"/>
      <c r="AF38" s="264"/>
      <c r="AH38" s="268" t="s">
        <v>181</v>
      </c>
      <c r="AI38" s="263"/>
      <c r="AJ38" s="263"/>
      <c r="AK38" s="263"/>
      <c r="AL38" s="269"/>
    </row>
    <row r="39" spans="2:44" x14ac:dyDescent="0.25">
      <c r="C39" s="79"/>
      <c r="I39" s="79"/>
      <c r="O39" s="79"/>
      <c r="W39" s="79"/>
      <c r="Y39" s="59"/>
      <c r="AC39" s="79"/>
      <c r="AE39" s="59"/>
      <c r="AH39" s="92"/>
      <c r="AI39" s="79"/>
      <c r="AK39" s="59"/>
      <c r="AL39" s="91"/>
    </row>
    <row r="40" spans="2:44" x14ac:dyDescent="0.25">
      <c r="C40" s="82"/>
      <c r="E40" s="86">
        <v>44742</v>
      </c>
      <c r="F40" s="134">
        <f>+'Ex. 2 Entries -City'!E34</f>
        <v>310</v>
      </c>
      <c r="H40" s="37"/>
      <c r="I40" s="133"/>
      <c r="K40" s="86">
        <v>43952</v>
      </c>
      <c r="L40" s="134">
        <f>+'Ex. 2 Entries -City'!E13</f>
        <v>150000</v>
      </c>
      <c r="O40" s="82"/>
      <c r="Q40" s="86">
        <v>43952</v>
      </c>
      <c r="R40" s="134">
        <f>+'Ex. 2 Entries -City'!K13</f>
        <v>0</v>
      </c>
      <c r="V40" t="s">
        <v>167</v>
      </c>
      <c r="W40" s="81">
        <f>+'Ex. 2 Entries - Corp'!D44</f>
        <v>1563</v>
      </c>
      <c r="Y40" s="59"/>
      <c r="Z40" s="83"/>
      <c r="AB40" t="s">
        <v>156</v>
      </c>
      <c r="AC40" s="80">
        <f>+'Ex. 2 Entries - Corp'!D15</f>
        <v>10000</v>
      </c>
      <c r="AD40" s="67"/>
      <c r="AE40" s="59"/>
      <c r="AF40" s="83"/>
      <c r="AH40" s="92" t="s">
        <v>178</v>
      </c>
      <c r="AI40" s="114">
        <f>+AI35</f>
        <v>5000</v>
      </c>
      <c r="AJ40" s="67"/>
      <c r="AK40" s="59" t="s">
        <v>176</v>
      </c>
      <c r="AL40" s="80"/>
    </row>
    <row r="41" spans="2:44" x14ac:dyDescent="0.25">
      <c r="C41" s="82"/>
      <c r="E41" s="37"/>
      <c r="F41" s="106"/>
      <c r="I41" s="82"/>
      <c r="K41" s="37">
        <v>45107</v>
      </c>
      <c r="L41" s="106">
        <f>+'Ex. 2 Entries -City'!E53</f>
        <v>13827</v>
      </c>
      <c r="O41" s="82"/>
      <c r="Q41" s="86" t="s">
        <v>190</v>
      </c>
      <c r="R41" s="106">
        <f>+'Ex. 2 Entries -City'!E45</f>
        <v>2609.8566954451676</v>
      </c>
      <c r="V41" t="s">
        <v>171</v>
      </c>
      <c r="W41" s="81">
        <f>+'Ex. 2 Entries - Corp'!J23</f>
        <v>7292</v>
      </c>
      <c r="AB41" t="s">
        <v>175</v>
      </c>
      <c r="AC41" s="81">
        <f>+'Ex. 2 Entries - Corp'!P31</f>
        <v>3887</v>
      </c>
      <c r="AE41" s="59"/>
      <c r="AH41" s="92" t="s">
        <v>179</v>
      </c>
      <c r="AI41" s="145">
        <f>+AO35</f>
        <v>22372</v>
      </c>
      <c r="AK41" s="59" t="s">
        <v>177</v>
      </c>
      <c r="AL41" s="113">
        <f>+AF35</f>
        <v>52293</v>
      </c>
    </row>
    <row r="42" spans="2:44" x14ac:dyDescent="0.25">
      <c r="C42" s="82"/>
      <c r="F42" s="106"/>
      <c r="I42" s="82"/>
      <c r="L42" s="106"/>
      <c r="O42" s="82"/>
      <c r="R42" s="106"/>
      <c r="V42" t="s">
        <v>174</v>
      </c>
      <c r="W42" s="81">
        <f>+'Ex. 2 Entries - Corp'!P23</f>
        <v>2179</v>
      </c>
      <c r="Y42" s="59"/>
      <c r="AC42" s="81"/>
      <c r="AE42" s="59"/>
      <c r="AH42" s="92" t="s">
        <v>180</v>
      </c>
      <c r="AI42" s="146">
        <f>+W52</f>
        <v>11034</v>
      </c>
      <c r="AK42" s="59"/>
      <c r="AL42" s="82"/>
    </row>
    <row r="43" spans="2:44" x14ac:dyDescent="0.25">
      <c r="C43" s="82"/>
      <c r="I43" s="82"/>
      <c r="L43" s="106"/>
      <c r="O43" s="82"/>
      <c r="R43" s="106"/>
      <c r="W43" s="81"/>
      <c r="Y43" s="59"/>
      <c r="AC43" s="81"/>
      <c r="AE43" s="59"/>
      <c r="AH43" s="92"/>
      <c r="AI43" s="147">
        <f>+AC52</f>
        <v>13887</v>
      </c>
      <c r="AK43" s="71"/>
      <c r="AL43" s="110"/>
    </row>
    <row r="44" spans="2:44" x14ac:dyDescent="0.25">
      <c r="C44" s="82"/>
      <c r="I44" s="82"/>
      <c r="L44" s="106"/>
      <c r="O44" s="82"/>
      <c r="R44" s="106"/>
      <c r="W44" s="81"/>
      <c r="Y44" s="59"/>
      <c r="AC44" s="81"/>
      <c r="AE44" s="59"/>
      <c r="AH44" s="92"/>
      <c r="AI44" s="82"/>
      <c r="AK44" s="59"/>
      <c r="AL44" s="82"/>
    </row>
    <row r="45" spans="2:44" x14ac:dyDescent="0.25">
      <c r="C45" s="82"/>
      <c r="I45" s="82"/>
      <c r="L45" s="106"/>
      <c r="O45" s="82"/>
      <c r="R45" s="106"/>
      <c r="W45" s="81"/>
      <c r="Y45" s="59"/>
      <c r="AC45" s="81"/>
      <c r="AE45" s="59"/>
      <c r="AH45" s="92"/>
      <c r="AI45" s="82"/>
      <c r="AK45" s="59"/>
      <c r="AL45" s="82"/>
    </row>
    <row r="46" spans="2:44" x14ac:dyDescent="0.25">
      <c r="C46" s="82"/>
      <c r="I46" s="82"/>
      <c r="L46" s="106"/>
      <c r="O46" s="82"/>
      <c r="R46" s="106"/>
      <c r="W46" s="81"/>
      <c r="Y46" s="59"/>
      <c r="AC46" s="81"/>
      <c r="AE46" s="59"/>
      <c r="AH46" s="92"/>
      <c r="AI46" s="82"/>
      <c r="AK46" s="59"/>
      <c r="AL46" s="82"/>
    </row>
    <row r="47" spans="2:44" x14ac:dyDescent="0.25">
      <c r="C47" s="82"/>
      <c r="I47" s="82"/>
      <c r="O47" s="82"/>
      <c r="W47" s="81"/>
      <c r="Y47" s="59"/>
      <c r="AC47" s="81"/>
      <c r="AE47" s="59"/>
      <c r="AH47" s="92"/>
      <c r="AI47" s="82"/>
      <c r="AK47" s="59"/>
      <c r="AL47" s="82"/>
    </row>
    <row r="48" spans="2:44" x14ac:dyDescent="0.25">
      <c r="C48" s="82"/>
      <c r="I48" s="82"/>
      <c r="O48" s="82"/>
      <c r="W48" s="81"/>
      <c r="Y48" s="59"/>
      <c r="AC48" s="81"/>
      <c r="AE48" s="59"/>
      <c r="AH48" s="92"/>
      <c r="AI48" s="82"/>
      <c r="AK48" s="59"/>
      <c r="AL48" s="82"/>
    </row>
    <row r="49" spans="2:38" x14ac:dyDescent="0.25">
      <c r="C49" s="82"/>
      <c r="I49" s="82"/>
      <c r="O49" s="82"/>
      <c r="W49" s="81"/>
      <c r="Y49" s="59"/>
      <c r="AC49" s="81"/>
      <c r="AE49" s="59"/>
      <c r="AH49" s="92"/>
      <c r="AI49" s="82"/>
      <c r="AK49" s="59"/>
      <c r="AL49" s="82"/>
    </row>
    <row r="50" spans="2:38" x14ac:dyDescent="0.25">
      <c r="C50" s="84"/>
      <c r="D50" s="88"/>
      <c r="E50" s="89"/>
      <c r="F50" s="30"/>
      <c r="I50" s="84"/>
      <c r="J50" s="88"/>
      <c r="K50" s="89"/>
      <c r="L50" s="30"/>
      <c r="O50" s="84"/>
      <c r="P50" s="88"/>
      <c r="Q50" s="89"/>
      <c r="R50" s="30"/>
      <c r="W50" s="84"/>
      <c r="X50" s="88"/>
      <c r="Y50" s="89"/>
      <c r="Z50" s="30"/>
      <c r="AC50" s="84"/>
      <c r="AD50" s="88"/>
      <c r="AE50" s="89"/>
      <c r="AF50" s="30"/>
      <c r="AH50" s="92"/>
      <c r="AI50" s="84"/>
      <c r="AJ50" s="88"/>
      <c r="AK50" s="89"/>
      <c r="AL50" s="84"/>
    </row>
    <row r="51" spans="2:38" ht="15.75" thickBot="1" x14ac:dyDescent="0.3">
      <c r="C51" s="85">
        <f>SUM(C40:C50)</f>
        <v>0</v>
      </c>
      <c r="F51" s="85">
        <f>SUM(F40:F50)</f>
        <v>310</v>
      </c>
      <c r="I51" s="85">
        <f>SUM(I40:I50)</f>
        <v>0</v>
      </c>
      <c r="L51" s="85">
        <f>SUM(L40:L50)</f>
        <v>163827</v>
      </c>
      <c r="O51" s="85">
        <f>SUM(O40:O50)</f>
        <v>0</v>
      </c>
      <c r="R51" s="85">
        <f>SUM(R40:R50)</f>
        <v>2609.8566954451676</v>
      </c>
      <c r="W51" s="85">
        <f>SUM(W40:W50)</f>
        <v>11034</v>
      </c>
      <c r="Y51" s="59"/>
      <c r="Z51" s="85">
        <f>SUM(Z40:Z50)</f>
        <v>0</v>
      </c>
      <c r="AC51" s="85">
        <f>SUM(AC40:AC50)</f>
        <v>13887</v>
      </c>
      <c r="AE51" s="59"/>
      <c r="AF51" s="85">
        <f>SUM(AF40:AF50)</f>
        <v>0</v>
      </c>
      <c r="AH51" s="92"/>
      <c r="AI51" s="85">
        <f>SUM(AI40:AI50)</f>
        <v>52293</v>
      </c>
      <c r="AK51" s="59"/>
      <c r="AL51" s="85">
        <f>SUM(AL41:AL50)</f>
        <v>52293</v>
      </c>
    </row>
    <row r="52" spans="2:38" ht="15.75" thickBot="1" x14ac:dyDescent="0.3">
      <c r="C52" s="68"/>
      <c r="F52" s="87">
        <f>+F51-C51</f>
        <v>310</v>
      </c>
      <c r="I52" s="68"/>
      <c r="L52" s="87">
        <f>+L51-I51</f>
        <v>163827</v>
      </c>
      <c r="O52" s="68"/>
      <c r="R52" s="87">
        <f>+R51-O51</f>
        <v>2609.8566954451676</v>
      </c>
      <c r="W52" s="116">
        <f>+W51-Z51</f>
        <v>11034</v>
      </c>
      <c r="Y52" s="59"/>
      <c r="AC52" s="117">
        <f>+AC51-AF51</f>
        <v>13887</v>
      </c>
      <c r="AE52" s="59"/>
      <c r="AH52" s="88"/>
      <c r="AI52" s="75">
        <f>+AI51-AL51</f>
        <v>0</v>
      </c>
      <c r="AJ52" s="30"/>
      <c r="AK52" s="89"/>
      <c r="AL52" s="84"/>
    </row>
    <row r="53" spans="2:38" x14ac:dyDescent="0.25">
      <c r="AE53" s="59"/>
      <c r="AK53" s="59"/>
    </row>
    <row r="54" spans="2:38" x14ac:dyDescent="0.25">
      <c r="Y54" s="59"/>
      <c r="AE54" s="59"/>
      <c r="AK54" s="59"/>
    </row>
    <row r="55" spans="2:38" x14ac:dyDescent="0.25">
      <c r="B55" s="265" t="s">
        <v>196</v>
      </c>
      <c r="C55" s="264"/>
      <c r="D55" s="264"/>
      <c r="E55" s="264"/>
      <c r="F55" s="264"/>
      <c r="H55" s="266" t="s">
        <v>315</v>
      </c>
      <c r="I55" s="267"/>
      <c r="J55" s="267"/>
      <c r="K55" s="267"/>
      <c r="L55" s="267"/>
      <c r="Y55" s="59"/>
      <c r="AE55" s="59"/>
      <c r="AK55" s="59"/>
    </row>
    <row r="56" spans="2:38" x14ac:dyDescent="0.25">
      <c r="C56" s="79"/>
      <c r="H56" s="183"/>
      <c r="I56" s="183"/>
      <c r="J56" s="183"/>
      <c r="K56" s="184"/>
      <c r="L56" s="185"/>
      <c r="Y56" s="59"/>
      <c r="AE56" s="59"/>
      <c r="AK56" s="59"/>
    </row>
    <row r="57" spans="2:38" x14ac:dyDescent="0.25">
      <c r="B57" s="37">
        <v>43952</v>
      </c>
      <c r="C57" s="135">
        <f>+'Ex. 2 Entries -City'!D12</f>
        <v>5000</v>
      </c>
      <c r="D57" s="136"/>
      <c r="F57" s="134"/>
      <c r="H57" s="183" t="s">
        <v>11</v>
      </c>
      <c r="I57" s="152">
        <f>+C18</f>
        <v>199137</v>
      </c>
      <c r="J57" s="152"/>
      <c r="K57" s="184" t="s">
        <v>317</v>
      </c>
      <c r="L57" s="152">
        <f>+F35</f>
        <v>12890.360878707641</v>
      </c>
      <c r="Y57" s="59"/>
      <c r="AE57" s="59"/>
      <c r="AK57" s="59"/>
    </row>
    <row r="58" spans="2:38" x14ac:dyDescent="0.25">
      <c r="B58" s="37"/>
      <c r="C58" s="133"/>
      <c r="E58" s="86"/>
      <c r="H58" s="183" t="s">
        <v>316</v>
      </c>
      <c r="I58" s="186">
        <f>+O18</f>
        <v>20250.217574152804</v>
      </c>
      <c r="J58" s="183"/>
      <c r="K58" s="184" t="s">
        <v>320</v>
      </c>
      <c r="L58" s="186">
        <f>+L35</f>
        <v>4750</v>
      </c>
      <c r="Y58" s="59"/>
      <c r="AE58" s="59"/>
      <c r="AK58" s="59"/>
    </row>
    <row r="59" spans="2:38" x14ac:dyDescent="0.25">
      <c r="C59" s="82"/>
      <c r="H59" s="183"/>
      <c r="I59" s="186"/>
      <c r="J59" s="183"/>
      <c r="K59" s="184" t="s">
        <v>243</v>
      </c>
      <c r="L59" s="186">
        <f>+F52</f>
        <v>310</v>
      </c>
      <c r="Y59" s="59"/>
      <c r="AE59" s="59"/>
      <c r="AK59" s="59"/>
    </row>
    <row r="60" spans="2:38" x14ac:dyDescent="0.25">
      <c r="C60" s="82"/>
      <c r="H60" s="183"/>
      <c r="I60" s="186">
        <f>+C69</f>
        <v>5000</v>
      </c>
      <c r="J60" s="183"/>
      <c r="K60" s="184" t="s">
        <v>321</v>
      </c>
      <c r="L60" s="186">
        <f>+L52</f>
        <v>163827</v>
      </c>
      <c r="Y60" s="59"/>
      <c r="AE60" s="59"/>
      <c r="AK60" s="59"/>
    </row>
    <row r="61" spans="2:38" x14ac:dyDescent="0.25">
      <c r="C61" s="82"/>
      <c r="H61" s="183"/>
      <c r="I61" s="183"/>
      <c r="J61" s="183"/>
      <c r="K61" s="184" t="s">
        <v>322</v>
      </c>
      <c r="L61" s="186"/>
      <c r="Y61" s="59"/>
      <c r="AE61" s="59"/>
      <c r="AK61" s="59"/>
    </row>
    <row r="62" spans="2:38" x14ac:dyDescent="0.25">
      <c r="C62" s="82"/>
      <c r="H62" s="183"/>
      <c r="I62" s="183"/>
      <c r="J62" s="183"/>
      <c r="K62" s="184" t="s">
        <v>323</v>
      </c>
      <c r="L62" s="185">
        <f>+R52</f>
        <v>2609.8566954451676</v>
      </c>
      <c r="Y62" s="59"/>
      <c r="AE62" s="59"/>
      <c r="AK62" s="59"/>
    </row>
    <row r="63" spans="2:38" x14ac:dyDescent="0.25">
      <c r="C63" s="82"/>
      <c r="H63" s="183"/>
      <c r="I63" s="183"/>
      <c r="J63" s="183"/>
      <c r="K63" s="184"/>
      <c r="L63" s="183"/>
      <c r="Y63" s="59"/>
      <c r="AE63" s="59"/>
      <c r="AK63" s="59"/>
    </row>
    <row r="64" spans="2:38" x14ac:dyDescent="0.25">
      <c r="C64" s="82"/>
      <c r="H64" s="183"/>
      <c r="I64" s="183"/>
      <c r="J64" s="183"/>
      <c r="K64" s="184"/>
      <c r="L64" s="183"/>
      <c r="Y64" s="59"/>
      <c r="AE64" s="59"/>
      <c r="AK64" s="59"/>
    </row>
    <row r="65" spans="3:37" x14ac:dyDescent="0.25">
      <c r="C65" s="82"/>
      <c r="H65" s="183"/>
      <c r="I65" s="183"/>
      <c r="J65" s="183"/>
      <c r="K65" s="184"/>
      <c r="L65" s="183"/>
      <c r="Y65" s="59"/>
      <c r="AE65" s="59"/>
      <c r="AK65" s="59"/>
    </row>
    <row r="66" spans="3:37" x14ac:dyDescent="0.25">
      <c r="C66" s="82"/>
      <c r="H66" s="183"/>
      <c r="I66" s="183"/>
      <c r="J66" s="183"/>
      <c r="K66" s="184"/>
      <c r="L66" s="183"/>
      <c r="Y66" s="59"/>
      <c r="AE66" s="59"/>
      <c r="AK66" s="59"/>
    </row>
    <row r="67" spans="3:37" x14ac:dyDescent="0.25">
      <c r="C67" s="84"/>
      <c r="D67" s="88"/>
      <c r="E67" s="89"/>
      <c r="F67" s="30"/>
      <c r="H67" s="183"/>
      <c r="I67" s="183"/>
      <c r="J67" s="183"/>
      <c r="K67" s="184"/>
      <c r="L67" s="183"/>
      <c r="Y67" s="59"/>
      <c r="AE67" s="59"/>
      <c r="AK67" s="59"/>
    </row>
    <row r="68" spans="3:37" x14ac:dyDescent="0.25">
      <c r="C68" s="85">
        <f>SUM(C57:C67)</f>
        <v>5000</v>
      </c>
      <c r="F68" s="85">
        <f>SUM(F57:F67)</f>
        <v>0</v>
      </c>
      <c r="H68" s="183"/>
      <c r="I68" s="185">
        <f>SUM(I57:I67)</f>
        <v>224387.2175741528</v>
      </c>
      <c r="J68" s="183"/>
      <c r="K68" s="184"/>
      <c r="L68" s="185">
        <f>SUM(L57:L67)</f>
        <v>184387.2175741528</v>
      </c>
      <c r="Y68" s="59"/>
      <c r="AE68" s="59"/>
      <c r="AK68" s="59"/>
    </row>
    <row r="69" spans="3:37" x14ac:dyDescent="0.25">
      <c r="C69" s="75">
        <f>+C68-F68</f>
        <v>5000</v>
      </c>
      <c r="H69" s="183" t="s">
        <v>113</v>
      </c>
      <c r="I69" s="185">
        <f>+I68-L68</f>
        <v>40000</v>
      </c>
      <c r="J69" s="183"/>
      <c r="K69" s="184"/>
      <c r="L69" s="183"/>
      <c r="Y69" s="59"/>
      <c r="AE69" s="59"/>
      <c r="AK69" s="59"/>
    </row>
    <row r="70" spans="3:37" x14ac:dyDescent="0.25">
      <c r="Y70" s="59"/>
      <c r="AE70" s="59"/>
      <c r="AK70" s="59"/>
    </row>
    <row r="71" spans="3:37" x14ac:dyDescent="0.25">
      <c r="Y71" s="59"/>
      <c r="AE71" s="59"/>
      <c r="AK71" s="59"/>
    </row>
    <row r="72" spans="3:37" x14ac:dyDescent="0.25">
      <c r="Y72" s="59"/>
      <c r="AE72" s="59"/>
      <c r="AK72" s="59"/>
    </row>
    <row r="73" spans="3:37" x14ac:dyDescent="0.25">
      <c r="Y73" s="59"/>
      <c r="AE73" s="59"/>
      <c r="AK73" s="59"/>
    </row>
    <row r="74" spans="3:37" x14ac:dyDescent="0.25">
      <c r="Y74" s="59"/>
      <c r="AE74" s="59"/>
      <c r="AK74" s="59"/>
    </row>
    <row r="75" spans="3:37" x14ac:dyDescent="0.25">
      <c r="Y75" s="59"/>
      <c r="AE75" s="59"/>
      <c r="AK75" s="59"/>
    </row>
    <row r="76" spans="3:37" x14ac:dyDescent="0.25">
      <c r="Y76" s="59"/>
      <c r="AE76" s="59"/>
      <c r="AK76" s="59"/>
    </row>
    <row r="77" spans="3:37" x14ac:dyDescent="0.25">
      <c r="Y77" s="59"/>
      <c r="AE77" s="59"/>
      <c r="AK77" s="59"/>
    </row>
    <row r="78" spans="3:37" x14ac:dyDescent="0.25">
      <c r="Y78" s="59"/>
      <c r="AE78" s="59"/>
      <c r="AK78" s="59"/>
    </row>
    <row r="79" spans="3:37" x14ac:dyDescent="0.25">
      <c r="Y79" s="59"/>
      <c r="AE79" s="59"/>
      <c r="AK79" s="59"/>
    </row>
    <row r="80" spans="3:37" x14ac:dyDescent="0.25">
      <c r="Y80" s="59"/>
      <c r="AE80" s="59"/>
      <c r="AK80" s="59"/>
    </row>
    <row r="81" spans="25:37" x14ac:dyDescent="0.25">
      <c r="Y81" s="59"/>
      <c r="AE81" s="59"/>
      <c r="AK81" s="59"/>
    </row>
    <row r="82" spans="25:37" x14ac:dyDescent="0.25">
      <c r="Y82" s="59"/>
      <c r="AE82" s="59"/>
      <c r="AK82" s="59"/>
    </row>
    <row r="83" spans="25:37" x14ac:dyDescent="0.25">
      <c r="Y83" s="59"/>
      <c r="AE83" s="59"/>
      <c r="AK83" s="59"/>
    </row>
    <row r="84" spans="25:37" x14ac:dyDescent="0.25">
      <c r="Y84" s="59"/>
      <c r="AE84" s="59"/>
      <c r="AK84" s="59"/>
    </row>
    <row r="85" spans="25:37" x14ac:dyDescent="0.25">
      <c r="Y85" s="59"/>
      <c r="AE85" s="59"/>
      <c r="AK85" s="59"/>
    </row>
    <row r="86" spans="25:37" x14ac:dyDescent="0.25">
      <c r="Y86" s="59"/>
      <c r="AE86" s="59"/>
      <c r="AK86" s="59"/>
    </row>
    <row r="87" spans="25:37" x14ac:dyDescent="0.25">
      <c r="Y87" s="59"/>
      <c r="AE87" s="59"/>
      <c r="AK87" s="59"/>
    </row>
    <row r="88" spans="25:37" x14ac:dyDescent="0.25">
      <c r="Y88" s="59"/>
      <c r="AE88" s="59"/>
      <c r="AK88" s="59"/>
    </row>
    <row r="89" spans="25:37" x14ac:dyDescent="0.25">
      <c r="Y89" s="59"/>
      <c r="AE89" s="59"/>
      <c r="AK89" s="59"/>
    </row>
    <row r="90" spans="25:37" x14ac:dyDescent="0.25">
      <c r="Y90" s="59"/>
      <c r="AE90" s="59"/>
      <c r="AK90" s="59"/>
    </row>
    <row r="91" spans="25:37" x14ac:dyDescent="0.25">
      <c r="Y91" s="59"/>
      <c r="AE91" s="59"/>
      <c r="AK91" s="59"/>
    </row>
    <row r="92" spans="25:37" x14ac:dyDescent="0.25">
      <c r="Y92" s="59"/>
      <c r="AE92" s="59"/>
      <c r="AK92" s="59"/>
    </row>
    <row r="93" spans="25:37" x14ac:dyDescent="0.25">
      <c r="Y93" s="59"/>
      <c r="AE93" s="59"/>
      <c r="AK93" s="59"/>
    </row>
    <row r="94" spans="25:37" x14ac:dyDescent="0.25">
      <c r="Y94" s="59"/>
      <c r="AE94" s="59"/>
      <c r="AK94" s="59"/>
    </row>
    <row r="95" spans="25:37" x14ac:dyDescent="0.25">
      <c r="Y95" s="59"/>
      <c r="AE95" s="59"/>
      <c r="AK95" s="59"/>
    </row>
    <row r="96" spans="25:37" x14ac:dyDescent="0.25">
      <c r="Y96" s="59"/>
      <c r="AE96" s="59"/>
      <c r="AK96" s="59"/>
    </row>
    <row r="97" spans="25:37" x14ac:dyDescent="0.25">
      <c r="Y97" s="59"/>
      <c r="AE97" s="59"/>
      <c r="AK97" s="59"/>
    </row>
    <row r="98" spans="25:37" x14ac:dyDescent="0.25">
      <c r="Y98" s="59"/>
      <c r="AE98" s="59"/>
      <c r="AK98" s="59"/>
    </row>
    <row r="99" spans="25:37" x14ac:dyDescent="0.25">
      <c r="Y99" s="59"/>
      <c r="AE99" s="59"/>
      <c r="AK99" s="59"/>
    </row>
    <row r="100" spans="25:37" x14ac:dyDescent="0.25">
      <c r="Y100" s="59"/>
      <c r="AE100" s="59"/>
      <c r="AK100" s="59"/>
    </row>
    <row r="101" spans="25:37" x14ac:dyDescent="0.25">
      <c r="Y101" s="59"/>
      <c r="AE101" s="59"/>
      <c r="AK101" s="59"/>
    </row>
    <row r="102" spans="25:37" x14ac:dyDescent="0.25">
      <c r="Y102" s="59"/>
      <c r="AE102" s="59"/>
      <c r="AK102" s="59"/>
    </row>
    <row r="103" spans="25:37" x14ac:dyDescent="0.25">
      <c r="Y103" s="59"/>
      <c r="AE103" s="59"/>
      <c r="AK103" s="59"/>
    </row>
  </sheetData>
  <mergeCells count="24">
    <mergeCell ref="AN21:AR21"/>
    <mergeCell ref="N21:R21"/>
    <mergeCell ref="B38:F38"/>
    <mergeCell ref="H38:L38"/>
    <mergeCell ref="V38:Z38"/>
    <mergeCell ref="AB38:AF38"/>
    <mergeCell ref="AH38:AL38"/>
    <mergeCell ref="N38:R38"/>
    <mergeCell ref="B21:F21"/>
    <mergeCell ref="B55:F55"/>
    <mergeCell ref="H21:L21"/>
    <mergeCell ref="V21:Z21"/>
    <mergeCell ref="AB21:AF21"/>
    <mergeCell ref="AH21:AL21"/>
    <mergeCell ref="H55:L55"/>
    <mergeCell ref="B1:S1"/>
    <mergeCell ref="V1:AR1"/>
    <mergeCell ref="B4:F4"/>
    <mergeCell ref="H4:L4"/>
    <mergeCell ref="N4:R4"/>
    <mergeCell ref="V4:Z4"/>
    <mergeCell ref="AB4:AF4"/>
    <mergeCell ref="AH4:AL4"/>
    <mergeCell ref="AN4:A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Overview</vt:lpstr>
      <vt:lpstr>Example 1 Assumptions </vt:lpstr>
      <vt:lpstr>Ex. 1 Amortization table</vt:lpstr>
      <vt:lpstr>Ex. 1 Entries</vt:lpstr>
      <vt:lpstr>Example 2 Assumptions </vt:lpstr>
      <vt:lpstr>Ex. 2 Amortization table</vt:lpstr>
      <vt:lpstr>Ex. 2 Entries -City</vt:lpstr>
      <vt:lpstr>Ex. 2 Entries - Corp</vt:lpstr>
      <vt:lpstr>Ex. 2 T-accounts</vt:lpstr>
      <vt:lpstr>Example 3 Assumptions </vt:lpstr>
      <vt:lpstr>Ex. 3 Amortization table</vt:lpstr>
      <vt:lpstr>Ex. 3 Entries -County</vt:lpstr>
      <vt:lpstr>Ex. 3 Entries -CESAS</vt:lpstr>
      <vt:lpstr>Ex. 3 T-accounts</vt:lpstr>
      <vt:lpstr>Ex.3 20X1 Financial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MLevine</dc:creator>
  <cp:lastModifiedBy>Michele Levine</cp:lastModifiedBy>
  <dcterms:created xsi:type="dcterms:W3CDTF">2020-04-05T22:01:50Z</dcterms:created>
  <dcterms:modified xsi:type="dcterms:W3CDTF">2023-08-30T15:55:44Z</dcterms:modified>
</cp:coreProperties>
</file>