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gfoaorg-my.sharepoint.com/personal/mlevine_gfoa_org/Documents/Documents/Example JE Collections/SBITAs/"/>
    </mc:Choice>
  </mc:AlternateContent>
  <xr:revisionPtr revIDLastSave="0" documentId="8_{69FD97A1-54A2-4CE0-9483-47733AC13370}" xr6:coauthVersionLast="47" xr6:coauthVersionMax="47" xr10:uidLastSave="{00000000-0000-0000-0000-000000000000}"/>
  <bookViews>
    <workbookView xWindow="-98" yWindow="-98" windowWidth="20715" windowHeight="13276" activeTab="1" xr2:uid="{7B908768-5D96-43CF-8974-2AB77747E4D7}"/>
  </bookViews>
  <sheets>
    <sheet name="Ex.1 Assumptions" sheetId="8" r:id="rId1"/>
    <sheet name="Ex.1 Term &amp; Cost Classification" sheetId="9" r:id="rId2"/>
    <sheet name="Ex.1 City Calculations" sheetId="2" r:id="rId3"/>
    <sheet name="Ex.1 City JEs" sheetId="3" r:id="rId4"/>
    <sheet name="Ex.2 Assumptions" sheetId="14" r:id="rId5"/>
    <sheet name="Ex.2 Term &amp; Cost Classification" sheetId="16" r:id="rId6"/>
    <sheet name="Ex.2 City Calculations" sheetId="17" r:id="rId7"/>
    <sheet name="Ex.2 City JEs" sheetId="18" r:id="rId8"/>
  </sheets>
  <definedNames>
    <definedName name="_xlnm.Print_Area" localSheetId="0">'Ex.1 Assumptions'!$C$16:$E$37</definedName>
    <definedName name="_xlnm.Print_Area" localSheetId="2">'Ex.1 City Calculations'!$B$14:$N$54</definedName>
    <definedName name="_xlnm.Print_Area" localSheetId="3">'Ex.1 City JEs'!$A$4:$P$43</definedName>
    <definedName name="_xlnm.Print_Area" localSheetId="1">'Ex.1 Term &amp; Cost Classification'!$A$4:$M$26</definedName>
    <definedName name="_xlnm.Print_Area" localSheetId="6">'Ex.2 City Calculations'!$C$13:$K$21</definedName>
    <definedName name="_xlnm.Print_Area" localSheetId="7">'Ex.2 City JEs'!$A$4:$P$83</definedName>
    <definedName name="_xlnm.Print_Area" localSheetId="5">'Ex.2 Term &amp; Cost Classification'!$A$4:$Q$25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6" l="1"/>
  <c r="C28" i="14"/>
  <c r="H182" i="18"/>
  <c r="H183" i="18"/>
  <c r="H184" i="18"/>
  <c r="H162" i="18"/>
  <c r="H163" i="18"/>
  <c r="H164" i="18"/>
  <c r="H23" i="18"/>
  <c r="H31" i="18" s="1"/>
  <c r="H40" i="18" s="1"/>
  <c r="H60" i="18" s="1"/>
  <c r="H67" i="18" s="1"/>
  <c r="H80" i="18" s="1"/>
  <c r="H86" i="18" s="1"/>
  <c r="H24" i="18"/>
  <c r="H32" i="18" s="1"/>
  <c r="H41" i="18" s="1"/>
  <c r="H68" i="18" s="1"/>
  <c r="H81" i="18" s="1"/>
  <c r="H87" i="18" s="1"/>
  <c r="M18" i="18"/>
  <c r="M25" i="18"/>
  <c r="M26" i="18"/>
  <c r="B22" i="18"/>
  <c r="B39" i="18" s="1"/>
  <c r="M39" i="18" s="1"/>
  <c r="M194" i="18"/>
  <c r="H192" i="18"/>
  <c r="M192" i="18" s="1"/>
  <c r="A192" i="18"/>
  <c r="M189" i="18"/>
  <c r="N188" i="18"/>
  <c r="M187" i="18"/>
  <c r="M182" i="18"/>
  <c r="M181" i="18"/>
  <c r="I181" i="18"/>
  <c r="I180" i="18"/>
  <c r="M179" i="18"/>
  <c r="M178" i="18"/>
  <c r="M175" i="18"/>
  <c r="N174" i="18"/>
  <c r="M173" i="18"/>
  <c r="M170" i="18"/>
  <c r="M169" i="18"/>
  <c r="M145" i="18"/>
  <c r="N144" i="18"/>
  <c r="M143" i="18"/>
  <c r="B161" i="18"/>
  <c r="M161" i="18" s="1"/>
  <c r="M162" i="18"/>
  <c r="M159" i="18"/>
  <c r="M158" i="18"/>
  <c r="B159" i="18"/>
  <c r="I161" i="18" s="1"/>
  <c r="B158" i="18"/>
  <c r="I160" i="18" s="1"/>
  <c r="M153" i="18"/>
  <c r="M152" i="18"/>
  <c r="M133" i="18"/>
  <c r="M132" i="18"/>
  <c r="I152" i="18"/>
  <c r="I151" i="18"/>
  <c r="M150" i="18"/>
  <c r="M149" i="18"/>
  <c r="C49" i="14"/>
  <c r="C46" i="14"/>
  <c r="M140" i="18"/>
  <c r="M139" i="18"/>
  <c r="M130" i="18"/>
  <c r="M129" i="18"/>
  <c r="I132" i="18"/>
  <c r="I131" i="18"/>
  <c r="C131" i="18"/>
  <c r="N131" i="18" s="1"/>
  <c r="M120" i="18"/>
  <c r="M119" i="18"/>
  <c r="B123" i="18"/>
  <c r="M123" i="18" s="1"/>
  <c r="M126" i="18"/>
  <c r="M125" i="18"/>
  <c r="N124" i="18"/>
  <c r="D27" i="17"/>
  <c r="N101" i="18"/>
  <c r="M100" i="18"/>
  <c r="M103" i="18"/>
  <c r="M104" i="18"/>
  <c r="M105" i="18"/>
  <c r="M102" i="18"/>
  <c r="E109" i="18"/>
  <c r="M114" i="18"/>
  <c r="M113" i="18"/>
  <c r="M112" i="18"/>
  <c r="M111" i="18"/>
  <c r="N110" i="18"/>
  <c r="M42" i="18"/>
  <c r="M43" i="18"/>
  <c r="M44" i="18"/>
  <c r="M41" i="18"/>
  <c r="N40" i="18"/>
  <c r="E100" i="18"/>
  <c r="O100" i="18" s="1"/>
  <c r="M96" i="18"/>
  <c r="E92" i="18"/>
  <c r="O92" i="18" s="1"/>
  <c r="M95" i="18"/>
  <c r="M94" i="18"/>
  <c r="M88" i="18"/>
  <c r="M87" i="18"/>
  <c r="M86" i="18"/>
  <c r="M81" i="18"/>
  <c r="M80" i="18"/>
  <c r="M75" i="18"/>
  <c r="M74" i="18"/>
  <c r="N73" i="18"/>
  <c r="B72" i="18"/>
  <c r="M72" i="18" s="1"/>
  <c r="M68" i="18"/>
  <c r="M69" i="18"/>
  <c r="M67" i="18"/>
  <c r="C66" i="18"/>
  <c r="C85" i="18" s="1"/>
  <c r="N85" i="18" s="1"/>
  <c r="M62" i="18"/>
  <c r="M61" i="18"/>
  <c r="H58" i="18"/>
  <c r="M58" i="18" s="1"/>
  <c r="C60" i="18"/>
  <c r="N60" i="18" s="1"/>
  <c r="M52" i="18"/>
  <c r="M53" i="18"/>
  <c r="M51" i="18"/>
  <c r="N50" i="18"/>
  <c r="N49" i="18"/>
  <c r="M47" i="18"/>
  <c r="H47" i="18"/>
  <c r="E39" i="18"/>
  <c r="O39" i="18" s="1"/>
  <c r="M33" i="18"/>
  <c r="M34" i="18"/>
  <c r="M35" i="18"/>
  <c r="M32" i="18"/>
  <c r="N31" i="18"/>
  <c r="M30" i="18"/>
  <c r="E30" i="18"/>
  <c r="O30" i="18" s="1"/>
  <c r="E22" i="18"/>
  <c r="O22" i="18" s="1"/>
  <c r="A16" i="16"/>
  <c r="B16" i="16"/>
  <c r="C16" i="16"/>
  <c r="I16" i="16" s="1"/>
  <c r="A15" i="16"/>
  <c r="B15" i="16"/>
  <c r="C15" i="16"/>
  <c r="I15" i="16" s="1"/>
  <c r="I15" i="17"/>
  <c r="F30" i="2"/>
  <c r="G15" i="17"/>
  <c r="M24" i="18"/>
  <c r="N23" i="18"/>
  <c r="H21" i="18"/>
  <c r="B21" i="18"/>
  <c r="I22" i="18" s="1"/>
  <c r="M17" i="18"/>
  <c r="N16" i="18"/>
  <c r="I16" i="18"/>
  <c r="M15" i="18"/>
  <c r="M12" i="18"/>
  <c r="M11" i="18"/>
  <c r="M10" i="18"/>
  <c r="N9" i="18"/>
  <c r="M8" i="18"/>
  <c r="M7" i="18"/>
  <c r="K37" i="16"/>
  <c r="H94" i="18" l="1"/>
  <c r="H102" i="18" s="1"/>
  <c r="H111" i="18" s="1"/>
  <c r="H93" i="18"/>
  <c r="H101" i="18" s="1"/>
  <c r="H110" i="18" s="1"/>
  <c r="M22" i="18"/>
  <c r="B59" i="18"/>
  <c r="M59" i="18" s="1"/>
  <c r="C160" i="18"/>
  <c r="C79" i="18"/>
  <c r="N79" i="18" s="1"/>
  <c r="C93" i="18"/>
  <c r="C118" i="18" s="1"/>
  <c r="C168" i="18" s="1"/>
  <c r="N168" i="18" s="1"/>
  <c r="O109" i="18"/>
  <c r="N66" i="18"/>
  <c r="H65" i="18"/>
  <c r="B29" i="18"/>
  <c r="H29" i="18"/>
  <c r="M21" i="18"/>
  <c r="D28" i="17"/>
  <c r="A7" i="16"/>
  <c r="B7" i="16"/>
  <c r="C7" i="16"/>
  <c r="E7" i="16" s="1"/>
  <c r="A8" i="16"/>
  <c r="B8" i="16"/>
  <c r="C8" i="16"/>
  <c r="E8" i="16" s="1"/>
  <c r="A9" i="16"/>
  <c r="B9" i="16"/>
  <c r="C9" i="16"/>
  <c r="E9" i="16" s="1"/>
  <c r="A10" i="16"/>
  <c r="B10" i="16"/>
  <c r="C10" i="16"/>
  <c r="E10" i="16" s="1"/>
  <c r="A11" i="16"/>
  <c r="B11" i="16"/>
  <c r="A12" i="16"/>
  <c r="B12" i="16"/>
  <c r="C12" i="16"/>
  <c r="E12" i="16" s="1"/>
  <c r="A13" i="16"/>
  <c r="B13" i="16"/>
  <c r="C13" i="16"/>
  <c r="E13" i="16" s="1"/>
  <c r="E8" i="18" s="1"/>
  <c r="O8" i="18" s="1"/>
  <c r="A14" i="16"/>
  <c r="B14" i="16"/>
  <c r="A17" i="16"/>
  <c r="B17" i="16"/>
  <c r="C17" i="16"/>
  <c r="I17" i="16" s="1"/>
  <c r="A18" i="16"/>
  <c r="B18" i="16"/>
  <c r="C18" i="16"/>
  <c r="I18" i="16" s="1"/>
  <c r="A19" i="16"/>
  <c r="B19" i="16"/>
  <c r="C19" i="16"/>
  <c r="I19" i="16" s="1"/>
  <c r="E29" i="18" s="1"/>
  <c r="A21" i="16"/>
  <c r="B21" i="16"/>
  <c r="A22" i="16"/>
  <c r="B22" i="16"/>
  <c r="C22" i="16"/>
  <c r="O22" i="16" s="1"/>
  <c r="A23" i="16"/>
  <c r="A24" i="16"/>
  <c r="A65" i="18" s="1"/>
  <c r="B24" i="16"/>
  <c r="C24" i="16"/>
  <c r="O24" i="16" s="1"/>
  <c r="E65" i="18" s="1"/>
  <c r="F66" i="18" s="1"/>
  <c r="P66" i="18" s="1"/>
  <c r="A20" i="16"/>
  <c r="B20" i="16"/>
  <c r="A25" i="16"/>
  <c r="A78" i="18" s="1"/>
  <c r="B25" i="16"/>
  <c r="C25" i="16"/>
  <c r="O25" i="16" s="1"/>
  <c r="A26" i="16"/>
  <c r="A84" i="18" s="1"/>
  <c r="B26" i="16"/>
  <c r="C26" i="16"/>
  <c r="O26" i="16" s="1"/>
  <c r="E84" i="18" s="1"/>
  <c r="K85" i="18" s="1"/>
  <c r="J84" i="18" s="1"/>
  <c r="O84" i="18" s="1"/>
  <c r="A27" i="16"/>
  <c r="A91" i="18" s="1"/>
  <c r="B27" i="16"/>
  <c r="C27" i="16"/>
  <c r="O27" i="16" s="1"/>
  <c r="A28" i="16"/>
  <c r="A99" i="18" s="1"/>
  <c r="B28" i="16"/>
  <c r="C28" i="16"/>
  <c r="O28" i="16" s="1"/>
  <c r="E99" i="18" s="1"/>
  <c r="K100" i="18" s="1"/>
  <c r="J99" i="18" s="1"/>
  <c r="O99" i="18" s="1"/>
  <c r="A30" i="16"/>
  <c r="A117" i="18" s="1"/>
  <c r="B30" i="16"/>
  <c r="A29" i="16"/>
  <c r="A108" i="18" s="1"/>
  <c r="B29" i="16"/>
  <c r="A31" i="16"/>
  <c r="B31" i="16"/>
  <c r="A32" i="16"/>
  <c r="A137" i="18" s="1"/>
  <c r="B32" i="16"/>
  <c r="A33" i="16"/>
  <c r="B33" i="16"/>
  <c r="A34" i="16"/>
  <c r="B34" i="16"/>
  <c r="A35" i="16"/>
  <c r="A167" i="18" s="1"/>
  <c r="B35" i="16"/>
  <c r="A36" i="16"/>
  <c r="A178" i="18" s="1"/>
  <c r="B36" i="16"/>
  <c r="C43" i="14"/>
  <c r="C29" i="16" s="1"/>
  <c r="O29" i="16" s="1"/>
  <c r="E108" i="18" s="1"/>
  <c r="K109" i="18" s="1"/>
  <c r="J108" i="18" s="1"/>
  <c r="O108" i="18" s="1"/>
  <c r="C34" i="14"/>
  <c r="C20" i="16" s="1"/>
  <c r="I20" i="16" s="1"/>
  <c r="E38" i="18" s="1"/>
  <c r="K39" i="18" s="1"/>
  <c r="J38" i="18" s="1"/>
  <c r="O38" i="18" s="1"/>
  <c r="C25" i="14"/>
  <c r="C11" i="16" s="1"/>
  <c r="E11" i="16" s="1"/>
  <c r="C35" i="16"/>
  <c r="Q35" i="16" s="1"/>
  <c r="E167" i="18" s="1"/>
  <c r="O167" i="18" s="1"/>
  <c r="C32" i="16"/>
  <c r="Q32" i="16" s="1"/>
  <c r="E137" i="18" s="1"/>
  <c r="C44" i="14"/>
  <c r="C30" i="16" s="1"/>
  <c r="Q30" i="16" s="1"/>
  <c r="E117" i="18" s="1"/>
  <c r="F118" i="18" s="1"/>
  <c r="P118" i="18" s="1"/>
  <c r="C37" i="14"/>
  <c r="C23" i="16" s="1"/>
  <c r="Q23" i="16" s="1"/>
  <c r="E59" i="18" s="1"/>
  <c r="O59" i="18" s="1"/>
  <c r="C47" i="14"/>
  <c r="C33" i="16" s="1"/>
  <c r="M33" i="16" s="1"/>
  <c r="F18" i="17" s="1"/>
  <c r="G18" i="17" s="1"/>
  <c r="C48" i="14"/>
  <c r="C34" i="16" s="1"/>
  <c r="M34" i="16" s="1"/>
  <c r="F19" i="17" s="1"/>
  <c r="G19" i="17" s="1"/>
  <c r="C50" i="14"/>
  <c r="C36" i="16" s="1"/>
  <c r="M36" i="16" s="1"/>
  <c r="F20" i="17" s="1"/>
  <c r="G20" i="17" s="1"/>
  <c r="C45" i="14"/>
  <c r="C31" i="16" s="1"/>
  <c r="M31" i="16" s="1"/>
  <c r="F17" i="17" s="1"/>
  <c r="G17" i="17" s="1"/>
  <c r="C35" i="14"/>
  <c r="C14" i="16"/>
  <c r="C6" i="16"/>
  <c r="E6" i="16" s="1"/>
  <c r="B6" i="16"/>
  <c r="A6" i="16"/>
  <c r="M8" i="3"/>
  <c r="I28" i="3"/>
  <c r="M15" i="3"/>
  <c r="H21" i="3"/>
  <c r="I16" i="3"/>
  <c r="F16" i="2"/>
  <c r="B21" i="3"/>
  <c r="I22" i="3" s="1"/>
  <c r="M12" i="3"/>
  <c r="M101" i="3"/>
  <c r="M100" i="3"/>
  <c r="N99" i="3"/>
  <c r="I110" i="3"/>
  <c r="N110" i="3" s="1"/>
  <c r="H109" i="3"/>
  <c r="M109" i="3" s="1"/>
  <c r="M76" i="3"/>
  <c r="M75" i="3"/>
  <c r="N74" i="3"/>
  <c r="M106" i="3"/>
  <c r="N105" i="3"/>
  <c r="M104" i="3"/>
  <c r="M93" i="3"/>
  <c r="I92" i="3"/>
  <c r="I91" i="3"/>
  <c r="M86" i="3"/>
  <c r="N85" i="3"/>
  <c r="M84" i="3"/>
  <c r="M81" i="3"/>
  <c r="N80" i="3"/>
  <c r="M79" i="3"/>
  <c r="M68" i="3"/>
  <c r="I67" i="3"/>
  <c r="I66" i="3"/>
  <c r="H65" i="3"/>
  <c r="M65" i="3" s="1"/>
  <c r="H64" i="3"/>
  <c r="M64" i="3" s="1"/>
  <c r="C67" i="3"/>
  <c r="N67" i="3" s="1"/>
  <c r="M61" i="3"/>
  <c r="M60" i="3"/>
  <c r="N59" i="3"/>
  <c r="M58" i="3"/>
  <c r="M55" i="3"/>
  <c r="M54" i="3"/>
  <c r="D18" i="17" l="1"/>
  <c r="A149" i="18"/>
  <c r="O117" i="18"/>
  <c r="F168" i="18"/>
  <c r="P168" i="18" s="1"/>
  <c r="D17" i="17"/>
  <c r="A129" i="18"/>
  <c r="C21" i="16"/>
  <c r="C37" i="16" s="1"/>
  <c r="D19" i="17"/>
  <c r="A158" i="18"/>
  <c r="B92" i="18"/>
  <c r="B109" i="18" s="1"/>
  <c r="M109" i="18" s="1"/>
  <c r="N160" i="18"/>
  <c r="C180" i="18"/>
  <c r="N180" i="18" s="1"/>
  <c r="N118" i="18"/>
  <c r="C138" i="18"/>
  <c r="O137" i="18"/>
  <c r="F138" i="18"/>
  <c r="P138" i="18" s="1"/>
  <c r="E21" i="18"/>
  <c r="K22" i="18" s="1"/>
  <c r="J21" i="18" s="1"/>
  <c r="O21" i="18" s="1"/>
  <c r="E7" i="18"/>
  <c r="K66" i="18"/>
  <c r="J65" i="18" s="1"/>
  <c r="O65" i="18" s="1"/>
  <c r="K30" i="18"/>
  <c r="J29" i="18" s="1"/>
  <c r="O29" i="18" s="1"/>
  <c r="F31" i="18"/>
  <c r="P31" i="18" s="1"/>
  <c r="F101" i="18"/>
  <c r="P101" i="18" s="1"/>
  <c r="F85" i="18"/>
  <c r="P85" i="18" s="1"/>
  <c r="F40" i="18"/>
  <c r="E72" i="18" s="1"/>
  <c r="F110" i="18"/>
  <c r="E78" i="18"/>
  <c r="G30" i="17"/>
  <c r="G31" i="17"/>
  <c r="E91" i="18"/>
  <c r="E58" i="18"/>
  <c r="G29" i="17"/>
  <c r="G14" i="16"/>
  <c r="G37" i="16" s="1"/>
  <c r="N93" i="18"/>
  <c r="M65" i="18"/>
  <c r="H78" i="18"/>
  <c r="M29" i="18"/>
  <c r="H38" i="18"/>
  <c r="I30" i="18"/>
  <c r="B38" i="18"/>
  <c r="I37" i="16"/>
  <c r="D9" i="17" s="1"/>
  <c r="D5" i="17"/>
  <c r="Q37" i="16"/>
  <c r="O37" i="16"/>
  <c r="E37" i="16"/>
  <c r="D29" i="17"/>
  <c r="C29" i="17" s="1"/>
  <c r="C51" i="14"/>
  <c r="M21" i="3"/>
  <c r="H27" i="3"/>
  <c r="H89" i="3"/>
  <c r="M89" i="3" s="1"/>
  <c r="H90" i="3"/>
  <c r="M90" i="3" s="1"/>
  <c r="C92" i="3"/>
  <c r="N92" i="3" s="1"/>
  <c r="M49" i="3"/>
  <c r="M48" i="3"/>
  <c r="N47" i="3"/>
  <c r="B46" i="3"/>
  <c r="M33" i="3"/>
  <c r="N53" i="3"/>
  <c r="M52" i="3"/>
  <c r="J12" i="9"/>
  <c r="M43" i="3"/>
  <c r="M42" i="3"/>
  <c r="M41" i="3"/>
  <c r="M31" i="3"/>
  <c r="M32" i="3"/>
  <c r="M30" i="3"/>
  <c r="M28" i="3"/>
  <c r="C29" i="3"/>
  <c r="N29" i="3" s="1"/>
  <c r="N40" i="3"/>
  <c r="N39" i="3"/>
  <c r="M36" i="3"/>
  <c r="I39" i="3"/>
  <c r="H36" i="3"/>
  <c r="B37" i="3"/>
  <c r="M24" i="3"/>
  <c r="M23" i="3"/>
  <c r="N22" i="3"/>
  <c r="M18" i="3"/>
  <c r="M17" i="3"/>
  <c r="N16" i="3"/>
  <c r="M11" i="3"/>
  <c r="M10" i="3"/>
  <c r="N9" i="3"/>
  <c r="M7" i="3"/>
  <c r="I16" i="2"/>
  <c r="P16" i="2"/>
  <c r="B6" i="9"/>
  <c r="B7" i="9"/>
  <c r="B8" i="9"/>
  <c r="B9" i="9"/>
  <c r="B10" i="9"/>
  <c r="B11" i="9"/>
  <c r="B13" i="9"/>
  <c r="B14" i="9"/>
  <c r="B15" i="9"/>
  <c r="B16" i="9"/>
  <c r="B12" i="9"/>
  <c r="B17" i="9"/>
  <c r="B18" i="9"/>
  <c r="B19" i="9"/>
  <c r="B20" i="9"/>
  <c r="B21" i="9"/>
  <c r="B22" i="9"/>
  <c r="B23" i="9"/>
  <c r="B24" i="9"/>
  <c r="B25" i="9"/>
  <c r="C6" i="9"/>
  <c r="C7" i="9"/>
  <c r="C9" i="9"/>
  <c r="G9" i="9" s="1"/>
  <c r="C11" i="9"/>
  <c r="G11" i="9" s="1"/>
  <c r="C14" i="9"/>
  <c r="C12" i="9"/>
  <c r="C19" i="9"/>
  <c r="C20" i="9"/>
  <c r="C21" i="9"/>
  <c r="C23" i="9"/>
  <c r="C24" i="9"/>
  <c r="C25" i="9"/>
  <c r="A7" i="9"/>
  <c r="A8" i="9"/>
  <c r="C18" i="2" s="1"/>
  <c r="A9" i="9"/>
  <c r="A10" i="9"/>
  <c r="A11" i="9"/>
  <c r="A13" i="9"/>
  <c r="A14" i="9"/>
  <c r="A15" i="9"/>
  <c r="A16" i="9"/>
  <c r="A12" i="9"/>
  <c r="A17" i="9"/>
  <c r="A18" i="9"/>
  <c r="A19" i="9"/>
  <c r="A20" i="9"/>
  <c r="A21" i="9"/>
  <c r="A22" i="9"/>
  <c r="A23" i="9"/>
  <c r="A24" i="9"/>
  <c r="A25" i="9"/>
  <c r="M21" i="16" l="1"/>
  <c r="M92" i="18"/>
  <c r="B117" i="18"/>
  <c r="N138" i="18"/>
  <c r="C151" i="18"/>
  <c r="N151" i="18" s="1"/>
  <c r="M117" i="18"/>
  <c r="B137" i="18"/>
  <c r="O7" i="18"/>
  <c r="P110" i="18"/>
  <c r="E123" i="18"/>
  <c r="F23" i="18"/>
  <c r="P23" i="18" s="1"/>
  <c r="F9" i="18"/>
  <c r="F73" i="18"/>
  <c r="P73" i="18" s="1"/>
  <c r="O72" i="18"/>
  <c r="P40" i="18"/>
  <c r="F60" i="18"/>
  <c r="P60" i="18" s="1"/>
  <c r="K59" i="18"/>
  <c r="J58" i="18" s="1"/>
  <c r="O58" i="18" s="1"/>
  <c r="K92" i="18"/>
  <c r="J91" i="18" s="1"/>
  <c r="O91" i="18" s="1"/>
  <c r="F93" i="18"/>
  <c r="P93" i="18" s="1"/>
  <c r="K79" i="18"/>
  <c r="J78" i="18" s="1"/>
  <c r="O78" i="18" s="1"/>
  <c r="P79" i="18" s="1"/>
  <c r="F79" i="18"/>
  <c r="D8" i="17"/>
  <c r="E15" i="18"/>
  <c r="I50" i="18"/>
  <c r="N48" i="18" s="1"/>
  <c r="M38" i="18"/>
  <c r="M78" i="18"/>
  <c r="H84" i="18"/>
  <c r="M84" i="18" s="1"/>
  <c r="H91" i="18"/>
  <c r="G21" i="17"/>
  <c r="E47" i="18" s="1"/>
  <c r="K16" i="17"/>
  <c r="F48" i="18"/>
  <c r="J47" i="18" s="1"/>
  <c r="I39" i="18"/>
  <c r="B47" i="18"/>
  <c r="D7" i="17"/>
  <c r="M37" i="16"/>
  <c r="F16" i="17"/>
  <c r="D30" i="17"/>
  <c r="C30" i="17" s="1"/>
  <c r="C38" i="16"/>
  <c r="M27" i="3"/>
  <c r="I38" i="3"/>
  <c r="N38" i="3" s="1"/>
  <c r="E28" i="3"/>
  <c r="O28" i="3" s="1"/>
  <c r="J26" i="9"/>
  <c r="F9" i="3"/>
  <c r="F29" i="3"/>
  <c r="P29" i="3" s="1"/>
  <c r="M46" i="3"/>
  <c r="B73" i="3"/>
  <c r="M37" i="3"/>
  <c r="B66" i="3"/>
  <c r="I12" i="9"/>
  <c r="G14" i="9"/>
  <c r="D33" i="8"/>
  <c r="M25" i="9"/>
  <c r="E98" i="3" s="1"/>
  <c r="M24" i="9"/>
  <c r="H10" i="2" s="1"/>
  <c r="E91" i="3" s="1"/>
  <c r="O91" i="3" s="1"/>
  <c r="L23" i="9"/>
  <c r="A6" i="9"/>
  <c r="E6" i="9"/>
  <c r="E7" i="3" s="1"/>
  <c r="E7" i="9"/>
  <c r="E8" i="3" s="1"/>
  <c r="O8" i="3" s="1"/>
  <c r="L19" i="9"/>
  <c r="M20" i="9"/>
  <c r="H9" i="2" s="1"/>
  <c r="E66" i="3" s="1"/>
  <c r="O66" i="3" s="1"/>
  <c r="M21" i="9"/>
  <c r="E73" i="3" s="1"/>
  <c r="D29" i="8"/>
  <c r="D28" i="8"/>
  <c r="D27" i="8"/>
  <c r="C16" i="9" s="1"/>
  <c r="M16" i="9" s="1"/>
  <c r="D26" i="8"/>
  <c r="C15" i="9" s="1"/>
  <c r="G15" i="9" s="1"/>
  <c r="D24" i="8"/>
  <c r="C13" i="9" s="1"/>
  <c r="D21" i="8"/>
  <c r="C10" i="9" s="1"/>
  <c r="D19" i="8"/>
  <c r="M137" i="18" l="1"/>
  <c r="B167" i="18"/>
  <c r="M167" i="18" s="1"/>
  <c r="P9" i="18"/>
  <c r="F124" i="18"/>
  <c r="P124" i="18" s="1"/>
  <c r="O123" i="18"/>
  <c r="M91" i="18"/>
  <c r="H99" i="18"/>
  <c r="I17" i="17"/>
  <c r="I49" i="18"/>
  <c r="B58" i="18"/>
  <c r="K49" i="18"/>
  <c r="F49" i="18"/>
  <c r="P50" i="18" s="1"/>
  <c r="K51" i="18"/>
  <c r="P49" i="18" s="1"/>
  <c r="F21" i="17"/>
  <c r="D31" i="17"/>
  <c r="Q38" i="16"/>
  <c r="H6" i="2"/>
  <c r="H7" i="2" s="1"/>
  <c r="E37" i="3" s="1"/>
  <c r="O37" i="3" s="1"/>
  <c r="E27" i="3"/>
  <c r="K28" i="3" s="1"/>
  <c r="J27" i="3" s="1"/>
  <c r="O27" i="3" s="1"/>
  <c r="I26" i="9"/>
  <c r="J8" i="2" s="1"/>
  <c r="C17" i="9"/>
  <c r="M17" i="9" s="1"/>
  <c r="M26" i="9" s="1"/>
  <c r="E46" i="3"/>
  <c r="O73" i="3"/>
  <c r="F74" i="3"/>
  <c r="P74" i="3" s="1"/>
  <c r="F99" i="3"/>
  <c r="P99" i="3" s="1"/>
  <c r="O98" i="3"/>
  <c r="M73" i="3"/>
  <c r="B98" i="3"/>
  <c r="M98" i="3" s="1"/>
  <c r="M66" i="3"/>
  <c r="B91" i="3"/>
  <c r="M91" i="3" s="1"/>
  <c r="E5" i="2"/>
  <c r="F5" i="2" s="1"/>
  <c r="E21" i="3" s="1"/>
  <c r="K22" i="3" s="1"/>
  <c r="J21" i="3" s="1"/>
  <c r="O21" i="3" s="1"/>
  <c r="G10" i="9"/>
  <c r="G13" i="9"/>
  <c r="E6" i="2"/>
  <c r="C18" i="9"/>
  <c r="C8" i="9"/>
  <c r="D37" i="8"/>
  <c r="C22" i="9"/>
  <c r="E26" i="9"/>
  <c r="J17" i="17" l="1"/>
  <c r="E129" i="18" s="1"/>
  <c r="E130" i="18"/>
  <c r="K132" i="18" s="1"/>
  <c r="J130" i="18" s="1"/>
  <c r="O130" i="18" s="1"/>
  <c r="H108" i="18"/>
  <c r="M99" i="18"/>
  <c r="B78" i="18"/>
  <c r="B91" i="18" s="1"/>
  <c r="K17" i="17"/>
  <c r="I18" i="17" s="1"/>
  <c r="I59" i="18"/>
  <c r="B65" i="18"/>
  <c r="D10" i="17"/>
  <c r="J48" i="18" s="1"/>
  <c r="K193" i="18" s="1"/>
  <c r="P193" i="18" s="1"/>
  <c r="D32" i="17"/>
  <c r="C32" i="17" s="1"/>
  <c r="C31" i="17"/>
  <c r="F6" i="2"/>
  <c r="F39" i="3"/>
  <c r="P40" i="3" s="1"/>
  <c r="L22" i="9"/>
  <c r="E10" i="2"/>
  <c r="F92" i="3" s="1"/>
  <c r="P92" i="3" s="1"/>
  <c r="F47" i="3"/>
  <c r="P47" i="3" s="1"/>
  <c r="O46" i="3"/>
  <c r="L18" i="9"/>
  <c r="L26" i="9" s="1"/>
  <c r="E9" i="2"/>
  <c r="F67" i="3" s="1"/>
  <c r="P67" i="3" s="1"/>
  <c r="E4" i="2"/>
  <c r="G8" i="9"/>
  <c r="P9" i="3"/>
  <c r="O7" i="3"/>
  <c r="F22" i="3"/>
  <c r="P22" i="3" s="1"/>
  <c r="C26" i="9"/>
  <c r="M108" i="18" l="1"/>
  <c r="I193" i="18"/>
  <c r="N193" i="18" s="1"/>
  <c r="J18" i="17"/>
  <c r="E150" i="18"/>
  <c r="K152" i="18" s="1"/>
  <c r="J150" i="18" s="1"/>
  <c r="O150" i="18" s="1"/>
  <c r="K131" i="18"/>
  <c r="J129" i="18" s="1"/>
  <c r="O129" i="18" s="1"/>
  <c r="F131" i="18"/>
  <c r="P131" i="18" s="1"/>
  <c r="I79" i="18"/>
  <c r="I92" i="18"/>
  <c r="B99" i="18"/>
  <c r="I66" i="18"/>
  <c r="B84" i="18"/>
  <c r="I85" i="18" s="1"/>
  <c r="O47" i="18"/>
  <c r="G28" i="17"/>
  <c r="G39" i="17" s="1"/>
  <c r="F16" i="18"/>
  <c r="J15" i="18"/>
  <c r="D33" i="17"/>
  <c r="C33" i="17" s="1"/>
  <c r="G26" i="9"/>
  <c r="M27" i="9" s="1"/>
  <c r="E30" i="2"/>
  <c r="F9" i="2"/>
  <c r="E42" i="2"/>
  <c r="F10" i="2"/>
  <c r="F4" i="2"/>
  <c r="E7" i="2"/>
  <c r="K18" i="17" l="1"/>
  <c r="I19" i="17" s="1"/>
  <c r="E149" i="18"/>
  <c r="K50" i="18"/>
  <c r="P48" i="18" s="1"/>
  <c r="J28" i="17"/>
  <c r="I29" i="17" s="1"/>
  <c r="I100" i="18"/>
  <c r="B108" i="18"/>
  <c r="I109" i="18" s="1"/>
  <c r="O15" i="18"/>
  <c r="K16" i="18"/>
  <c r="P16" i="18"/>
  <c r="D34" i="17"/>
  <c r="C34" i="17" s="1"/>
  <c r="E54" i="2"/>
  <c r="J4" i="2"/>
  <c r="F42" i="2"/>
  <c r="H42" i="2"/>
  <c r="H30" i="2"/>
  <c r="E15" i="3"/>
  <c r="F7" i="2"/>
  <c r="J7" i="2" s="1"/>
  <c r="K151" i="18" l="1"/>
  <c r="J149" i="18" s="1"/>
  <c r="O149" i="18" s="1"/>
  <c r="F151" i="18"/>
  <c r="J19" i="17"/>
  <c r="E159" i="18"/>
  <c r="K161" i="18" s="1"/>
  <c r="J159" i="18" s="1"/>
  <c r="O159" i="18" s="1"/>
  <c r="I30" i="17"/>
  <c r="J29" i="17"/>
  <c r="I31" i="17"/>
  <c r="D35" i="17"/>
  <c r="C35" i="17" s="1"/>
  <c r="M21" i="2"/>
  <c r="M17" i="2"/>
  <c r="F54" i="2"/>
  <c r="F55" i="2" s="1"/>
  <c r="J15" i="3"/>
  <c r="K38" i="3" s="1"/>
  <c r="P38" i="3" s="1"/>
  <c r="H54" i="2"/>
  <c r="F38" i="3"/>
  <c r="J6" i="2"/>
  <c r="F16" i="3"/>
  <c r="K19" i="17" l="1"/>
  <c r="E158" i="18"/>
  <c r="P151" i="18"/>
  <c r="J30" i="17"/>
  <c r="J31" i="17" s="1"/>
  <c r="I32" i="17" s="1"/>
  <c r="J32" i="17" s="1"/>
  <c r="D36" i="17"/>
  <c r="M22" i="2"/>
  <c r="N21" i="2"/>
  <c r="I22" i="2" s="1"/>
  <c r="F114" i="3"/>
  <c r="J36" i="3"/>
  <c r="K40" i="3" s="1"/>
  <c r="P39" i="3" s="1"/>
  <c r="E36" i="3"/>
  <c r="O15" i="3"/>
  <c r="J9" i="2"/>
  <c r="J37" i="3" s="1"/>
  <c r="K16" i="3"/>
  <c r="P16" i="3"/>
  <c r="I20" i="17" l="1"/>
  <c r="F160" i="18"/>
  <c r="K160" i="18"/>
  <c r="J158" i="18" s="1"/>
  <c r="O158" i="18" s="1"/>
  <c r="J20" i="17"/>
  <c r="K20" i="17" s="1"/>
  <c r="E179" i="18"/>
  <c r="K181" i="18" s="1"/>
  <c r="J179" i="18" s="1"/>
  <c r="O179" i="18" s="1"/>
  <c r="I33" i="17"/>
  <c r="J33" i="17" s="1"/>
  <c r="I34" i="17"/>
  <c r="D37" i="17"/>
  <c r="C37" i="17" s="1"/>
  <c r="C36" i="17"/>
  <c r="J22" i="2"/>
  <c r="M23" i="2"/>
  <c r="M24" i="2" s="1"/>
  <c r="M25" i="2" s="1"/>
  <c r="M26" i="2" s="1"/>
  <c r="M27" i="2" s="1"/>
  <c r="M28" i="2" s="1"/>
  <c r="M29" i="2" s="1"/>
  <c r="N22" i="2"/>
  <c r="I23" i="2" s="1"/>
  <c r="J23" i="2" s="1"/>
  <c r="K39" i="3"/>
  <c r="Q17" i="2"/>
  <c r="E178" i="18" l="1"/>
  <c r="P160" i="18"/>
  <c r="J34" i="17"/>
  <c r="I37" i="17" s="1"/>
  <c r="D38" i="17"/>
  <c r="C38" i="17"/>
  <c r="N23" i="2"/>
  <c r="I24" i="2" s="1"/>
  <c r="J24" i="2" s="1"/>
  <c r="P41" i="2"/>
  <c r="P50" i="2"/>
  <c r="P39" i="2"/>
  <c r="P36" i="2"/>
  <c r="P29" i="2"/>
  <c r="P43" i="2"/>
  <c r="P23" i="2"/>
  <c r="P27" i="2"/>
  <c r="P26" i="2"/>
  <c r="P47" i="2"/>
  <c r="P21" i="2"/>
  <c r="P42" i="2"/>
  <c r="P37" i="2"/>
  <c r="P32" i="2"/>
  <c r="P38" i="2"/>
  <c r="P44" i="2"/>
  <c r="P30" i="2"/>
  <c r="P48" i="2"/>
  <c r="P35" i="2"/>
  <c r="P40" i="2"/>
  <c r="P31" i="2"/>
  <c r="P53" i="2"/>
  <c r="P34" i="2"/>
  <c r="P45" i="2"/>
  <c r="P22" i="2"/>
  <c r="P46" i="2"/>
  <c r="P51" i="2"/>
  <c r="P24" i="2"/>
  <c r="P25" i="2"/>
  <c r="P33" i="2"/>
  <c r="P28" i="2"/>
  <c r="P49" i="2"/>
  <c r="P52" i="2"/>
  <c r="O36" i="3"/>
  <c r="K110" i="3"/>
  <c r="P110" i="3" s="1"/>
  <c r="K180" i="18" l="1"/>
  <c r="J178" i="18" s="1"/>
  <c r="O178" i="18" s="1"/>
  <c r="F180" i="18"/>
  <c r="E199" i="18"/>
  <c r="I35" i="17"/>
  <c r="J35" i="17" s="1"/>
  <c r="I36" i="17"/>
  <c r="K37" i="17" s="1"/>
  <c r="J173" i="18" s="1"/>
  <c r="I38" i="17"/>
  <c r="K39" i="17" s="1"/>
  <c r="J187" i="18" s="1"/>
  <c r="N24" i="2"/>
  <c r="I25" i="2" s="1"/>
  <c r="R53" i="2"/>
  <c r="R29" i="2"/>
  <c r="J52" i="3" s="1"/>
  <c r="Q21" i="2"/>
  <c r="Q22" i="2" s="1"/>
  <c r="Q23" i="2" s="1"/>
  <c r="Q24" i="2" s="1"/>
  <c r="Q25" i="2" s="1"/>
  <c r="Q26" i="2" s="1"/>
  <c r="Q27" i="2" s="1"/>
  <c r="Q28" i="2" s="1"/>
  <c r="Q29" i="2" s="1"/>
  <c r="Q30" i="2" s="1"/>
  <c r="Q31" i="2" s="1"/>
  <c r="Q32" i="2" s="1"/>
  <c r="Q33" i="2" s="1"/>
  <c r="R41" i="2"/>
  <c r="K188" i="18" l="1"/>
  <c r="P188" i="18" s="1"/>
  <c r="O187" i="18"/>
  <c r="K174" i="18"/>
  <c r="P174" i="18" s="1"/>
  <c r="O173" i="18"/>
  <c r="P180" i="18"/>
  <c r="F199" i="18"/>
  <c r="E200" i="18" s="1"/>
  <c r="K35" i="17"/>
  <c r="J143" i="18" s="1"/>
  <c r="J36" i="17"/>
  <c r="J37" i="17" s="1"/>
  <c r="J38" i="17" s="1"/>
  <c r="J25" i="2"/>
  <c r="O52" i="3"/>
  <c r="K53" i="3"/>
  <c r="J79" i="3"/>
  <c r="J104" i="3"/>
  <c r="Q34" i="2"/>
  <c r="O143" i="18" l="1"/>
  <c r="K144" i="18"/>
  <c r="N25" i="2"/>
  <c r="I26" i="2" s="1"/>
  <c r="P53" i="3"/>
  <c r="K105" i="3"/>
  <c r="P105" i="3" s="1"/>
  <c r="O104" i="3"/>
  <c r="K80" i="3"/>
  <c r="O79" i="3"/>
  <c r="Q35" i="2"/>
  <c r="P144" i="18" l="1"/>
  <c r="P199" i="18" s="1"/>
  <c r="J192" i="18"/>
  <c r="K199" i="18"/>
  <c r="J26" i="2"/>
  <c r="P80" i="3"/>
  <c r="J109" i="3"/>
  <c r="O109" i="3" s="1"/>
  <c r="Q36" i="2"/>
  <c r="O192" i="18" l="1"/>
  <c r="O199" i="18" s="1"/>
  <c r="O200" i="18" s="1"/>
  <c r="J199" i="18"/>
  <c r="J200" i="18" s="1"/>
  <c r="I39" i="17"/>
  <c r="N26" i="2"/>
  <c r="I27" i="2" s="1"/>
  <c r="Q37" i="2"/>
  <c r="J27" i="2" l="1"/>
  <c r="Q38" i="2"/>
  <c r="N27" i="2" l="1"/>
  <c r="I28" i="2" s="1"/>
  <c r="Q39" i="2"/>
  <c r="J28" i="2" l="1"/>
  <c r="Q40" i="2"/>
  <c r="N28" i="2" l="1"/>
  <c r="I29" i="2" s="1"/>
  <c r="J29" i="2" s="1"/>
  <c r="Q41" i="2"/>
  <c r="N29" i="2" l="1"/>
  <c r="I30" i="2" s="1"/>
  <c r="Q42" i="2"/>
  <c r="K30" i="2" l="1"/>
  <c r="Q43" i="2"/>
  <c r="L30" i="2" l="1"/>
  <c r="E65" i="3"/>
  <c r="K67" i="3" s="1"/>
  <c r="J58" i="3"/>
  <c r="O58" i="3" s="1"/>
  <c r="M30" i="2"/>
  <c r="E64" i="3"/>
  <c r="K59" i="3"/>
  <c r="Q44" i="2"/>
  <c r="N30" i="2" l="1"/>
  <c r="I31" i="2" s="1"/>
  <c r="M31" i="2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K66" i="3"/>
  <c r="J64" i="3"/>
  <c r="O64" i="3" s="1"/>
  <c r="J65" i="3"/>
  <c r="O65" i="3" s="1"/>
  <c r="P59" i="3"/>
  <c r="Q45" i="2"/>
  <c r="J31" i="2" l="1"/>
  <c r="Q46" i="2"/>
  <c r="I21" i="17" l="1"/>
  <c r="N31" i="2"/>
  <c r="I32" i="2" s="1"/>
  <c r="J32" i="2" s="1"/>
  <c r="N32" i="2" s="1"/>
  <c r="I33" i="2" s="1"/>
  <c r="J33" i="2" s="1"/>
  <c r="N33" i="2" s="1"/>
  <c r="I34" i="2" s="1"/>
  <c r="Q47" i="2"/>
  <c r="J34" i="2" l="1"/>
  <c r="Q48" i="2"/>
  <c r="P54" i="2" s="1"/>
  <c r="N34" i="2" l="1"/>
  <c r="I35" i="2" s="1"/>
  <c r="J35" i="2" s="1"/>
  <c r="Q49" i="2"/>
  <c r="Q50" i="2" s="1"/>
  <c r="Q51" i="2" s="1"/>
  <c r="Q52" i="2" s="1"/>
  <c r="J21" i="17" l="1"/>
  <c r="J22" i="17" s="1"/>
  <c r="N35" i="2"/>
  <c r="I36" i="2"/>
  <c r="Q53" i="2"/>
  <c r="J36" i="2" l="1"/>
  <c r="N36" i="2" l="1"/>
  <c r="I37" i="2" s="1"/>
  <c r="J37" i="2" l="1"/>
  <c r="N37" i="2" l="1"/>
  <c r="I38" i="2" s="1"/>
  <c r="J38" i="2" l="1"/>
  <c r="N38" i="2" l="1"/>
  <c r="I39" i="2" s="1"/>
  <c r="J39" i="2" l="1"/>
  <c r="N39" i="2" l="1"/>
  <c r="I40" i="2" s="1"/>
  <c r="J40" i="2" l="1"/>
  <c r="N40" i="2" l="1"/>
  <c r="I41" i="2" s="1"/>
  <c r="J41" i="2" l="1"/>
  <c r="N41" i="2" l="1"/>
  <c r="I42" i="2" s="1"/>
  <c r="I54" i="2" s="1"/>
  <c r="K42" i="2" l="1"/>
  <c r="K54" i="2" s="1"/>
  <c r="K55" i="2" s="1"/>
  <c r="L42" i="2" l="1"/>
  <c r="J84" i="3"/>
  <c r="E90" i="3"/>
  <c r="K92" i="3" s="1"/>
  <c r="O84" i="3"/>
  <c r="K85" i="3"/>
  <c r="M42" i="2" l="1"/>
  <c r="L54" i="2"/>
  <c r="L55" i="2" s="1"/>
  <c r="E89" i="3"/>
  <c r="P85" i="3"/>
  <c r="P114" i="3" s="1"/>
  <c r="J90" i="3"/>
  <c r="O90" i="3" s="1"/>
  <c r="E114" i="3"/>
  <c r="E115" i="3" s="1"/>
  <c r="K91" i="3"/>
  <c r="K114" i="3" s="1"/>
  <c r="J89" i="3"/>
  <c r="N42" i="2" l="1"/>
  <c r="O89" i="3"/>
  <c r="O114" i="3" s="1"/>
  <c r="O115" i="3" s="1"/>
  <c r="J114" i="3"/>
  <c r="J11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Peg Hartnett</author>
  </authors>
  <commentList>
    <comment ref="B5" authorId="0" shapeId="0" xr:uid="{0E80D10D-4F14-49C9-B16B-841CD377F948}">
      <text>
        <r>
          <rPr>
            <b/>
            <sz val="9"/>
            <color indexed="81"/>
            <rFont val="Tahoma"/>
            <charset val="1"/>
          </rPr>
          <t>Peg Hartnett
These phases should tie to phases in Word doc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tc={049126B2-59B9-4254-A291-0AE71FEAE7CD}</author>
    <author>tc={58ED3FBF-5EC2-41F3-9DC8-A94C5D07AEF6}</author>
  </authors>
  <commentList>
    <comment ref="A11" authorId="0" shapeId="0" xr:uid="{049126B2-59B9-4254-A291-0AE71FEAE7CD}">
      <text>
        <t>[Threaded comment]
Your version of Excel allows you to read this threaded comment; however, any edits to it will get removed if the file is opened in a newer version of Excel. Learn more: https://go.microsoft.com/fwlink/?linkid=870924
Comment:
    Could these be capitalizable implementation costs?</t>
      </text>
    </comment>
    <comment ref="S14" authorId="1" shapeId="0" xr:uid="{58ED3FBF-5EC2-41F3-9DC8-A94C5D07AEF6}">
      <text>
        <t>[Threaded comment]
Your version of Excel allows you to read this threaded comment; however, any edits to it will get removed if the file is opened in a newer version of Excel. Learn more: https://go.microsoft.com/fwlink/?linkid=870924
Comment:
    Is bifurcation correct?</t>
      </text>
    </comment>
  </commentList>
</comments>
</file>

<file path=xl/sharedStrings.xml><?xml version="1.0" encoding="utf-8"?>
<sst xmlns="http://schemas.openxmlformats.org/spreadsheetml/2006/main" count="619" uniqueCount="395">
  <si>
    <t>Assumptions Summary</t>
  </si>
  <si>
    <t>See full assumptions provided separately</t>
  </si>
  <si>
    <t>Example 1</t>
  </si>
  <si>
    <t>City enters into contract with SCCC (vendor) on December 15, 20X0</t>
  </si>
  <si>
    <t>Contract terms:</t>
  </si>
  <si>
    <r>
      <t xml:space="preserve">Initial </t>
    </r>
    <r>
      <rPr>
        <i/>
        <sz val="11"/>
        <color theme="1"/>
        <rFont val="Calibri"/>
        <family val="2"/>
        <scheme val="minor"/>
      </rPr>
      <t>contract</t>
    </r>
    <r>
      <rPr>
        <sz val="11"/>
        <color theme="1"/>
        <rFont val="Calibri"/>
        <family val="2"/>
        <scheme val="minor"/>
      </rPr>
      <t xml:space="preserve"> term</t>
    </r>
  </si>
  <si>
    <t>January 1, 20X1 - December 31, 20X3</t>
  </si>
  <si>
    <t>Termination options</t>
  </si>
  <si>
    <t>City only options, as of 12/31/20X1 or 12/31/20X2. City is reasonably certain not to terminate.</t>
  </si>
  <si>
    <r>
      <rPr>
        <i/>
        <sz val="11"/>
        <color rgb="FF000000"/>
        <rFont val="Calibri"/>
        <family val="2"/>
      </rPr>
      <t>After</t>
    </r>
    <r>
      <rPr>
        <sz val="11"/>
        <color rgb="FF000000"/>
        <rFont val="Calibri"/>
        <family val="2"/>
      </rPr>
      <t xml:space="preserve"> initial three-year term:</t>
    </r>
  </si>
  <si>
    <t>Cancellable by either party effective upon close of business on 12/31 of each year, with advanced notice.</t>
  </si>
  <si>
    <t>Pricing subject to change each year as of January 1st, with advanced notice.</t>
  </si>
  <si>
    <t>System in service date</t>
  </si>
  <si>
    <t>April 1, 20X2</t>
  </si>
  <si>
    <t>Discount rate</t>
  </si>
  <si>
    <t>per year</t>
  </si>
  <si>
    <t xml:space="preserve">Annual license fees paid when activated (pro-rated for partial years), then upon renewal each January 1st.  </t>
  </si>
  <si>
    <t>Annual hosting/maintenance/support fees payable when System is placed into service (pro-rated for partial years); and annually on January 1st</t>
  </si>
  <si>
    <t>Costs:</t>
  </si>
  <si>
    <t>Date</t>
  </si>
  <si>
    <t>Amount</t>
  </si>
  <si>
    <t>Description</t>
  </si>
  <si>
    <t>FY 20X0</t>
  </si>
  <si>
    <t>Consultant costs (scope, technical feasibility, RFP and specifications development)</t>
  </si>
  <si>
    <t>City staff time (scope, technical feasibility, RFP and specifications development)</t>
  </si>
  <si>
    <t>Payment not made to vendor</t>
  </si>
  <si>
    <t>1/1/X1</t>
  </si>
  <si>
    <t xml:space="preserve">Five full licenses full year @ $600 </t>
  </si>
  <si>
    <t>First installment for implementation</t>
  </si>
  <si>
    <t>3/1/X1</t>
  </si>
  <si>
    <t xml:space="preserve">Eight full licenses @ $600 for 10/12 months </t>
  </si>
  <si>
    <t>Second installment for implementation</t>
  </si>
  <si>
    <t>3/31/X1</t>
  </si>
  <si>
    <t>City staff time for implementation, of which $960 is for  training</t>
  </si>
  <si>
    <t>4/1/X1</t>
  </si>
  <si>
    <t>Twelve full licenses @ $600 for 9/12 months</t>
  </si>
  <si>
    <t>Final installment for implementation, of which $3,000 is for data conversion and training</t>
  </si>
  <si>
    <t>Block of 50,000 user licenses @ $18,000 for 9/12 months</t>
  </si>
  <si>
    <t>April-Dec 20X1</t>
  </si>
  <si>
    <t>City staff time for system administration @ $6,000 for 9/12 months</t>
  </si>
  <si>
    <t>1/1/X2</t>
  </si>
  <si>
    <t>25 full licenses for year @ $600</t>
  </si>
  <si>
    <t>Block of 50,000 user licenses @ $18,000 for year</t>
  </si>
  <si>
    <t>FY 20X2</t>
  </si>
  <si>
    <t>City staff time for system administration @ $6,000</t>
  </si>
  <si>
    <t>1/1/X3</t>
  </si>
  <si>
    <t>FY 20X3</t>
  </si>
  <si>
    <t xml:space="preserve">City staff time for system administration @ $6,000 </t>
  </si>
  <si>
    <t>No advance notice of cancellation was given by either party as of 12/1/20X3</t>
  </si>
  <si>
    <t>SCCC provided advance notice to the City that annual licensing fees would increase by 10% effective 1/1/20X4</t>
  </si>
  <si>
    <t>Subscription term:</t>
  </si>
  <si>
    <t>April 1, 20X1 ("go live") - December 31, 20X3 (end of noncancellable and reasonably certain extension periods)</t>
  </si>
  <si>
    <t>The lease becomes cancellable by either party each year period after 20X3, meaning that each subsequent term will be for a year or less, and should be accounted for as a short-term SBITA.</t>
  </si>
  <si>
    <t>Classification of costs:</t>
  </si>
  <si>
    <t>Preliminary, Subscription, Implementation, and Operating Costs</t>
  </si>
  <si>
    <t>Stage 1: Preliminary Project Stage</t>
  </si>
  <si>
    <t xml:space="preserve">Stage 2: Initial Implementation Stage </t>
  </si>
  <si>
    <t xml:space="preserve">Stage 3: Operation and Additional Implementation Stage </t>
  </si>
  <si>
    <t>Notes</t>
  </si>
  <si>
    <t>Date incurred</t>
  </si>
  <si>
    <t>Capitalizable - Paid to SBITA Vendor</t>
  </si>
  <si>
    <t>Capitalizable - Other</t>
  </si>
  <si>
    <t>Non-capitalizable</t>
  </si>
  <si>
    <t>Subscription payments</t>
  </si>
  <si>
    <t xml:space="preserve">Non-capitalizable </t>
  </si>
  <si>
    <t>*</t>
  </si>
  <si>
    <t>* No allocation is necessary between portions of year before and after subscription term begins because while the portion attributable to the subsciption term would technically be a subscription payment, there is no time-value of money because the costs are paid up-front, so the result would be the same</t>
  </si>
  <si>
    <t xml:space="preserve">$960 is for training, not capitalizable </t>
  </si>
  <si>
    <t>$3,000 is for data conversion not essential for asset to operate and training, not capitalizable</t>
  </si>
  <si>
    <t>Sunny City, calculations for journal entries</t>
  </si>
  <si>
    <t>Payments to vendor at or before inception of subscription:</t>
  </si>
  <si>
    <t>Subscription components</t>
  </si>
  <si>
    <t>Non-subscription components</t>
  </si>
  <si>
    <t>Subscription Liability and Asset Measurements</t>
  </si>
  <si>
    <t>January 1 ,20X1</t>
  </si>
  <si>
    <t>Net present value of future payments ($66,000) = subscription liability</t>
  </si>
  <si>
    <t>March 1, 20X1</t>
  </si>
  <si>
    <t>April 1, 20X1</t>
  </si>
  <si>
    <t>Subscription liability</t>
  </si>
  <si>
    <t>Prepayments (1/1, 3/1, and 4/1/20X1 subscription payments to vendor)</t>
  </si>
  <si>
    <t>Payments to vendor during term of subscription:</t>
  </si>
  <si>
    <t>Other capitalizable implementation costs</t>
  </si>
  <si>
    <t>January 1, 20X2</t>
  </si>
  <si>
    <t>Subscription asset</t>
  </si>
  <si>
    <t>January 1, 20X3</t>
  </si>
  <si>
    <t>Subsequent payments are for a short-term SBITA,  and need not be considered in this calculation.</t>
  </si>
  <si>
    <t>Calculation of Subscription Liability</t>
  </si>
  <si>
    <t>Amortization of Subscription Liability</t>
  </si>
  <si>
    <t>Amortization of Subscription Asset</t>
  </si>
  <si>
    <t>Period #</t>
  </si>
  <si>
    <t>Payment Date</t>
  </si>
  <si>
    <t>Payment Amount</t>
  </si>
  <si>
    <t>Present Value at 4/1/X1 @ Monthly Discount Rate of</t>
  </si>
  <si>
    <t>Subscription Payment Amount</t>
  </si>
  <si>
    <t>Interest @ monthly rate of</t>
  </si>
  <si>
    <t>Subscription Interest Payable</t>
  </si>
  <si>
    <t>Interest Payment</t>
  </si>
  <si>
    <t>Principal Payment</t>
  </si>
  <si>
    <t>Subscription Liability</t>
  </si>
  <si>
    <t>Total Remaining Liability</t>
  </si>
  <si>
    <t xml:space="preserve">Monthly Periods Straight-line Amortization </t>
  </si>
  <si>
    <t>Unamortized Balance</t>
  </si>
  <si>
    <t>2/1/X1</t>
  </si>
  <si>
    <t>5/1/X1</t>
  </si>
  <si>
    <t>6/1/X1</t>
  </si>
  <si>
    <t>7/1/X1</t>
  </si>
  <si>
    <t>8/1/X1</t>
  </si>
  <si>
    <t>9/1/X1</t>
  </si>
  <si>
    <t>10/1/X1</t>
  </si>
  <si>
    <t>11/1/X1</t>
  </si>
  <si>
    <t>20X1</t>
  </si>
  <si>
    <t>12/1/X1</t>
  </si>
  <si>
    <t>2/1/X2</t>
  </si>
  <si>
    <t>3/1/X2</t>
  </si>
  <si>
    <t>4/1/X2</t>
  </si>
  <si>
    <t>5/1/X2</t>
  </si>
  <si>
    <t>6/1/X2</t>
  </si>
  <si>
    <t>7/1/X2</t>
  </si>
  <si>
    <t>8/1/X2</t>
  </si>
  <si>
    <t>9/1/X2</t>
  </si>
  <si>
    <t>10/1/X2</t>
  </si>
  <si>
    <t>11/1/X2</t>
  </si>
  <si>
    <t>20X2</t>
  </si>
  <si>
    <t>12/1/X2</t>
  </si>
  <si>
    <t>2/1/X3</t>
  </si>
  <si>
    <t>3/1/X3</t>
  </si>
  <si>
    <t>4/1/X3</t>
  </si>
  <si>
    <t>5/1/X3</t>
  </si>
  <si>
    <t>6/1/X3</t>
  </si>
  <si>
    <t>7/1/X3</t>
  </si>
  <si>
    <t>8/1/X4</t>
  </si>
  <si>
    <t>9/1/X3</t>
  </si>
  <si>
    <t>10/1/X3</t>
  </si>
  <si>
    <t>11/1/X3</t>
  </si>
  <si>
    <t>20X3</t>
  </si>
  <si>
    <t>12/1/X3</t>
  </si>
  <si>
    <t>Subscription Implementation</t>
  </si>
  <si>
    <t>Sunny City General Journal</t>
  </si>
  <si>
    <t>General Fund</t>
  </si>
  <si>
    <t>Conversion to Governmental Activities</t>
  </si>
  <si>
    <t>Governmental Activities (or Entry if SBITA were in a Proprietary or Fiduciary Fund)</t>
  </si>
  <si>
    <t>DR</t>
  </si>
  <si>
    <t>CR</t>
  </si>
  <si>
    <t>FYE 20X0</t>
  </si>
  <si>
    <t>Throughout</t>
  </si>
  <si>
    <t>Current expenditure/expense - consultants</t>
  </si>
  <si>
    <t>[no entry]</t>
  </si>
  <si>
    <t>year</t>
  </si>
  <si>
    <t>Salaries and benefits expenditures/expense</t>
  </si>
  <si>
    <t>Cash</t>
  </si>
  <si>
    <t>To record preliminary project stage consultant and in-house</t>
  </si>
  <si>
    <t xml:space="preserve"> staff costs as expenditures/expenses in year in which they</t>
  </si>
  <si>
    <t xml:space="preserve"> were incurred</t>
  </si>
  <si>
    <t>FYE 20X1</t>
  </si>
  <si>
    <t>1/1/20X1</t>
  </si>
  <si>
    <t>Capital outlay</t>
  </si>
  <si>
    <t>Development in progress - SCCC System</t>
  </si>
  <si>
    <t xml:space="preserve">Cash </t>
  </si>
  <si>
    <t>To record payment for 5 annual full licenses and the initial</t>
  </si>
  <si>
    <t>To capitalize development costs incurred</t>
  </si>
  <si>
    <t>installment to vendor (SCCC) for implementation</t>
  </si>
  <si>
    <t>3/1/20X1</t>
  </si>
  <si>
    <t xml:space="preserve">To record payment for 8 full licenses for 10 months of year, </t>
  </si>
  <si>
    <t>and the second installment to SCCC for implementation</t>
  </si>
  <si>
    <t>3/31/20X1</t>
  </si>
  <si>
    <t>To record payment of City IT personnel salaries and benefits</t>
  </si>
  <si>
    <t>for time spent on SCCC System initial implementation stage</t>
  </si>
  <si>
    <t>work as capital outlay and time spent for training as</t>
  </si>
  <si>
    <t>current period expenditure/expense</t>
  </si>
  <si>
    <t>4/1/20X1</t>
  </si>
  <si>
    <t>Other financing source - SCCC SBITA</t>
  </si>
  <si>
    <t>To record inception of subscription when System is placed</t>
  </si>
  <si>
    <t xml:space="preserve">into service, including final installment for implementation </t>
  </si>
  <si>
    <t xml:space="preserve">To record adjustment necessary to convert governmental </t>
  </si>
  <si>
    <t>and additional licenses and annual services for 3/4ths of year</t>
  </si>
  <si>
    <t>fund activity to governmental activities (economic</t>
  </si>
  <si>
    <t>resources measurement focus)</t>
  </si>
  <si>
    <t>4/1 - 12/31/20X1</t>
  </si>
  <si>
    <t>To record as current period expenditures/expenses the cost</t>
  </si>
  <si>
    <t>of City staff time spent operating the System</t>
  </si>
  <si>
    <t>12/31/20X1a</t>
  </si>
  <si>
    <t>Amortization expense</t>
  </si>
  <si>
    <t>Accumulated amortization - Subscription asset</t>
  </si>
  <si>
    <t>To record amortization of subscription asset for 9 months</t>
  </si>
  <si>
    <t>of 20X1</t>
  </si>
  <si>
    <t>12/31/20X1b</t>
  </si>
  <si>
    <t>Subscription interest expense</t>
  </si>
  <si>
    <t>Subscription interest payable</t>
  </si>
  <si>
    <t>To accrue interest payable on subscription for 9 months</t>
  </si>
  <si>
    <t>FYE 20X2</t>
  </si>
  <si>
    <t>1/1/20X2</t>
  </si>
  <si>
    <t>Debt service - subscription principal</t>
  </si>
  <si>
    <t>Debt service - subscription interest expenditure/expense</t>
  </si>
  <si>
    <t xml:space="preserve">To record debt service expenditure for subscription payment and for </t>
  </si>
  <si>
    <t>To recognize reduction in subscription liability and accrued</t>
  </si>
  <si>
    <t>annual System maintenance (non-subscription component) payment to</t>
  </si>
  <si>
    <t>interest upon payment of principal and interest to SCCC</t>
  </si>
  <si>
    <t>interest as well as annual maintenance expense (non-subscription</t>
  </si>
  <si>
    <t>SCCC</t>
  </si>
  <si>
    <t>component) and payment to SCCC</t>
  </si>
  <si>
    <t xml:space="preserve">Throughout year  </t>
  </si>
  <si>
    <t>12/31/20X2a</t>
  </si>
  <si>
    <t>To record amortization of subscription asset for 20X2</t>
  </si>
  <si>
    <t>12/31/20X2b</t>
  </si>
  <si>
    <t>To accrue interest payable on subscription for 20X2</t>
  </si>
  <si>
    <t>FYE 20X3</t>
  </si>
  <si>
    <t>1/1/20X3</t>
  </si>
  <si>
    <t>annual System maintenance (non-subscription component)</t>
  </si>
  <si>
    <t>interest upon payment of principle and interest to SCCC</t>
  </si>
  <si>
    <t>payment to SCCC</t>
  </si>
  <si>
    <t>Throughout year</t>
  </si>
  <si>
    <t>12/31/20X3a</t>
  </si>
  <si>
    <t>To record amortization of subscription asset for 20X3</t>
  </si>
  <si>
    <t>12/31/20X3b</t>
  </si>
  <si>
    <t xml:space="preserve">To recognize retirement of subscription asset at end of </t>
  </si>
  <si>
    <t>subscription term</t>
  </si>
  <si>
    <t>Balance test</t>
  </si>
  <si>
    <t>Example 2</t>
  </si>
  <si>
    <t>12/31/X2</t>
  </si>
  <si>
    <t>FY 20X4</t>
  </si>
  <si>
    <t>Additions</t>
  </si>
  <si>
    <t>None</t>
  </si>
  <si>
    <t>Termination or extension options</t>
  </si>
  <si>
    <t>1/31/X1</t>
  </si>
  <si>
    <t>Semiannual payment to PERP for right to use cloud-based software and related hardware</t>
  </si>
  <si>
    <t>6/30/X1</t>
  </si>
  <si>
    <t>9/30/X1</t>
  </si>
  <si>
    <t>1st installment payment to SLEEPS for implementation of GL module</t>
  </si>
  <si>
    <t>2nd installment payment to SLEEPS for implementation of GL module</t>
  </si>
  <si>
    <t>7/31/X1</t>
  </si>
  <si>
    <t>8/31/X1</t>
  </si>
  <si>
    <t>10/31/X1</t>
  </si>
  <si>
    <t>12/31/X1</t>
  </si>
  <si>
    <t>County enters into contract with SLEEPS (implementor) for system configuration and support services effective January 1, 20X1</t>
  </si>
  <si>
    <t>County enters into two contracts with GFOA Consulting for ERP readiness, procurement, and implementation oversight effective on July 1, 20X0</t>
  </si>
  <si>
    <t xml:space="preserve">Phase 1: July 1 - October 31, 20X0 </t>
  </si>
  <si>
    <t>County employee work on system GL module implementation ($12,000 data conversion and training)</t>
  </si>
  <si>
    <t>County employee work on system AP module implementation ($8,000 data conversion and training)</t>
  </si>
  <si>
    <t>County employee work on system GL module implementation</t>
  </si>
  <si>
    <t>County employee work on system AP module implementation</t>
  </si>
  <si>
    <t>County employee work on preliminary project work</t>
  </si>
  <si>
    <t>Preliminary project work (ERP readiness through system specifications)</t>
  </si>
  <si>
    <t>Phase 2: November 1, 20X0 - January 31, 20X2</t>
  </si>
  <si>
    <t>Annual enterprise license</t>
  </si>
  <si>
    <t>Capitalizable - Additional Implementation</t>
  </si>
  <si>
    <t>Non-capitalizable - Operation</t>
  </si>
  <si>
    <t>Subscrip-tion term:</t>
  </si>
  <si>
    <t>The lease becomes cancellable by either party each year period after 20X5</t>
  </si>
  <si>
    <t>See full assumptions provided separately and use key column below</t>
  </si>
  <si>
    <t>7/31/X0</t>
  </si>
  <si>
    <t>8/31/X0</t>
  </si>
  <si>
    <t>9/30/X0</t>
  </si>
  <si>
    <t>10/31/X0</t>
  </si>
  <si>
    <t>11/30/X0</t>
  </si>
  <si>
    <t>12/31/X0</t>
  </si>
  <si>
    <t>7/1-12/31/X0</t>
  </si>
  <si>
    <t>[A]</t>
  </si>
  <si>
    <t>[G]</t>
  </si>
  <si>
    <t>[I]</t>
  </si>
  <si>
    <t>[M]</t>
  </si>
  <si>
    <t>[B-1]</t>
  </si>
  <si>
    <t>[F]</t>
  </si>
  <si>
    <t>[P]</t>
  </si>
  <si>
    <t>[C-1]</t>
  </si>
  <si>
    <t>[D-1]</t>
  </si>
  <si>
    <t>[B-2]</t>
  </si>
  <si>
    <t>2nd installment payment to SLEEPS for implementation of A/P module</t>
  </si>
  <si>
    <t>[C-2]</t>
  </si>
  <si>
    <t>[D-2]</t>
  </si>
  <si>
    <t>3rd installment payment to SLEEPS for GL module implementation ($180,000 data conversion and training)</t>
  </si>
  <si>
    <t>[H]</t>
  </si>
  <si>
    <t>[J]</t>
  </si>
  <si>
    <t>[K]</t>
  </si>
  <si>
    <t>[L]</t>
  </si>
  <si>
    <t>[Q]</t>
  </si>
  <si>
    <t>[R]</t>
  </si>
  <si>
    <t>[E]</t>
  </si>
  <si>
    <t>[S]</t>
  </si>
  <si>
    <t>[T]</t>
  </si>
  <si>
    <t>[U]</t>
  </si>
  <si>
    <t>GFOA Phase 1 consulting: Assessment of current process</t>
  </si>
  <si>
    <t>GFOA Phase 1 consulting: Project management initiation</t>
  </si>
  <si>
    <t>GFOA Phase 1 consulting: Future process determination</t>
  </si>
  <si>
    <t>GFOA Phase 1 consulting: Procurement strategy</t>
  </si>
  <si>
    <t>GFOA Phase 1 consulting: Contract negotiation support</t>
  </si>
  <si>
    <t>1st installment payment to SLEEPS for implementation of AP module</t>
  </si>
  <si>
    <t>[N]</t>
  </si>
  <si>
    <t>Data conversion not necessary to place module into service</t>
  </si>
  <si>
    <t>Net present value of future payments = subscription liability</t>
  </si>
  <si>
    <t>Initial subscription asset</t>
  </si>
  <si>
    <t>11/31/X1</t>
  </si>
  <si>
    <t>6/30/X2</t>
  </si>
  <si>
    <t>Subscription Asset</t>
  </si>
  <si>
    <t>Balance</t>
  </si>
  <si>
    <t>Interest @ Semiannual Rate of</t>
  </si>
  <si>
    <t>Period Ending</t>
  </si>
  <si>
    <t>6/30/X3</t>
  </si>
  <si>
    <t>12/31/X3</t>
  </si>
  <si>
    <t>6/30/X4</t>
  </si>
  <si>
    <t>GFOA Phase 2 consulting: implementation assistance for AP module ($5,000 data conversion); payable 10/31</t>
  </si>
  <si>
    <t>GFOA Phase 2 consulting: implementation assistance for GL module ($5,000 data conversion); payable 7/31</t>
  </si>
  <si>
    <t>7/1 - 12/31/X0</t>
  </si>
  <si>
    <t>1/1 - 6/30/X1</t>
  </si>
  <si>
    <t>Cash or accounts payable - GFOA</t>
  </si>
  <si>
    <t>Cash or accounts payable - PERP</t>
  </si>
  <si>
    <t>Development in progress - ERP System</t>
  </si>
  <si>
    <t>for time spent on ERP System initial implementation stage</t>
  </si>
  <si>
    <t>work as capital outlay and time spent for training and data</t>
  </si>
  <si>
    <t>Accounts payable - GFOA</t>
  </si>
  <si>
    <t>To record payments to SLEEPS for initial implementation stage</t>
  </si>
  <si>
    <t>conversion work as current period expenditure/expense</t>
  </si>
  <si>
    <t>Expenditures - current</t>
  </si>
  <si>
    <t>To record amount payable to GFOA for ERP System initial</t>
  </si>
  <si>
    <t>Other financing source - PERP SBITA</t>
  </si>
  <si>
    <t>Other capitalizable pre-term implementation costs (Stage 2 Capitalizable - Other)</t>
  </si>
  <si>
    <t>Subscription prepayment &amp; payments</t>
  </si>
  <si>
    <t>Months of Subscription Term Lapsed</t>
  </si>
  <si>
    <t>To record inception of subscription when ERP System is placed</t>
  </si>
  <si>
    <t>Cash or accounts payable - SLEEPS</t>
  </si>
  <si>
    <t>To record payments to SLEEPS for aditional implementation stage</t>
  </si>
  <si>
    <t>for time spent on ERP System additional implementation</t>
  </si>
  <si>
    <t>stage work for AP module.</t>
  </si>
  <si>
    <t>work on AP module and annual operating support for AP module</t>
  </si>
  <si>
    <t>into service, including 2nd subscription prepayment</t>
  </si>
  <si>
    <t xml:space="preserve">To record first prepayment for right-to-use PERP </t>
  </si>
  <si>
    <t>To record payment to GFOA for initial implementation stage work</t>
  </si>
  <si>
    <t>implementation stage work as capital outlay and time</t>
  </si>
  <si>
    <t>spent for training and data conversion work as current</t>
  </si>
  <si>
    <t>period expenditure/expense</t>
  </si>
  <si>
    <t>(accrued on 6/30/X1)</t>
  </si>
  <si>
    <t>To record 2nd payment to SLEEPS for aditional implementation</t>
  </si>
  <si>
    <t>stage work on AP module</t>
  </si>
  <si>
    <t>Cash or salaries and benefits payable</t>
  </si>
  <si>
    <t>3rd installment payment to SLEEPS for implementation of AP module ($180,000 data conversion and training)</t>
  </si>
  <si>
    <t>To record 3rd payment to SLEEPS for aditional implementation</t>
  </si>
  <si>
    <t>work on AP module as capital outlay and time spent for training</t>
  </si>
  <si>
    <t>and data conversion work as current period expenditure/expense</t>
  </si>
  <si>
    <t xml:space="preserve">work as capital outlay for AP module and time spent for training </t>
  </si>
  <si>
    <t xml:space="preserve">Implementation support (vendor selection, negotiations, project management and implementation assistance); payable at end of month of implementation </t>
  </si>
  <si>
    <t>Amortization of In-Service Subscription Asset</t>
  </si>
  <si>
    <t>To record amount payable to GFOA for ERP System additional</t>
  </si>
  <si>
    <t xml:space="preserve"> expenditure/expense</t>
  </si>
  <si>
    <t xml:space="preserve">implementation work on AP module as capital outlay and time </t>
  </si>
  <si>
    <t>spent for training and data conversion work as current period</t>
  </si>
  <si>
    <t>(accrued on 9/30/X1)</t>
  </si>
  <si>
    <t>County enters into contract with PERP (SBITA vendor) effective on January 1, 20X1</t>
  </si>
  <si>
    <t>AP module</t>
  </si>
  <si>
    <t>To record payments to SLEEPS for annual operating support for</t>
  </si>
  <si>
    <t>Debt Service expenditure - SBITA interest</t>
  </si>
  <si>
    <t>To record subscription payment to PERP for right to use ERP</t>
  </si>
  <si>
    <t>ERP System IT assets 1/1-6/30/X1</t>
  </si>
  <si>
    <t>Debt Service expenditure - subscription principal</t>
  </si>
  <si>
    <t>GL and AP modules</t>
  </si>
  <si>
    <t>interest upon payment of principal and interest to PERP</t>
  </si>
  <si>
    <t>System IT assets 1/1 - 6/30/X2</t>
  </si>
  <si>
    <t>System IT assets 7/1 - 12/31/X2</t>
  </si>
  <si>
    <t>System IT assets 1/1 - 6/30/X3</t>
  </si>
  <si>
    <t>ERP System subscription asset</t>
  </si>
  <si>
    <t>Accumulated amortization - ERP Subscription asset</t>
  </si>
  <si>
    <t>SLEEPs annual support (2 modules for 20X2)</t>
  </si>
  <si>
    <t>SLEEPs annual support (2 modules for 20X3)</t>
  </si>
  <si>
    <t>FYE 20X4</t>
  </si>
  <si>
    <t>System IT assets 7/1 - 12/31/X3</t>
  </si>
  <si>
    <t>To record retirement of ERP System subscription asset</t>
  </si>
  <si>
    <t>at end of subscription term</t>
  </si>
  <si>
    <t>Remaining Life at End of Period (Months)</t>
  </si>
  <si>
    <t>Lively County Journal Entries</t>
  </si>
  <si>
    <t>July 1, 20X1 ("go live") - December 31, 20X5 (end of noncancellable and reasonably certain extension periods)</t>
  </si>
  <si>
    <t xml:space="preserve"> 30 months</t>
  </si>
  <si>
    <t>Semi-Annual Period #</t>
  </si>
  <si>
    <t xml:space="preserve">Key to assumptions </t>
  </si>
  <si>
    <t>as current period expenditures</t>
  </si>
  <si>
    <t>work as capital outlay and training and data conversion work</t>
  </si>
  <si>
    <t>To capitalize eligible subscription asset development costs</t>
  </si>
  <si>
    <t>fund activity to governmental activities, exchanging capital</t>
  </si>
  <si>
    <t>outlay and other financind source with subscription</t>
  </si>
  <si>
    <t>asset and subscription liability, respectively</t>
  </si>
  <si>
    <t>incurred for GL module</t>
  </si>
  <si>
    <t>incurred for AP module</t>
  </si>
  <si>
    <t>To record amortization of subscription asset for FYE 20X2</t>
  </si>
  <si>
    <t>To record amortization of subscription asset for FYE 20X3</t>
  </si>
  <si>
    <t>To record amortization of subscription asset for FYE 20X4</t>
  </si>
  <si>
    <t>To recognize reduction in subscription liability and interest</t>
  </si>
  <si>
    <t xml:space="preserve">expense upon payment of subscription liability principal </t>
  </si>
  <si>
    <t>and interest to PERP</t>
  </si>
  <si>
    <t>GFOA Phase 1 consulting: Vendor selection support</t>
  </si>
  <si>
    <t>SLEEPs annual support (1 module for 6 months of 20X1)</t>
  </si>
  <si>
    <t>SLEEPs annual support (additional module for three months of 20X1)</t>
  </si>
  <si>
    <t>Vendor prepayments (1/1X1 and 7/1/X1)</t>
  </si>
  <si>
    <t>GFOA Phase 1 consulting: RFP preparation</t>
  </si>
  <si>
    <t>PV at 7/1/X1 @ Semiannual Discount Rate of</t>
  </si>
  <si>
    <t xml:space="preserve">         Costs incurred upon or before subscription asset is operational</t>
  </si>
  <si>
    <t xml:space="preserve">     Subscription and other payments during subscription term</t>
  </si>
  <si>
    <t>Annual maintenance/support @ $12,000 for 9/12 months</t>
  </si>
  <si>
    <t xml:space="preserve">Annual maintenance/support @ $12,000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</si>
</sst>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rgb="FF0C07D7"/>
      <name val="Calibri"/>
      <family val="2"/>
      <scheme val="minor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70AD47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/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slantDashDot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DashDotDot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 style="medium">
        <color indexed="64"/>
      </right>
      <top/>
      <bottom style="mediumDashDotDot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9">
    <xf numFmtId="0" fontId="0" fillId="0" borderId="0" xfId="0"/>
    <xf numFmtId="0" fontId="3" fillId="0" borderId="0" xfId="0" applyFont="1"/>
    <xf numFmtId="164" fontId="0" fillId="0" borderId="0" xfId="1" applyNumberFormat="1" applyFont="1" applyFill="1" applyBorder="1"/>
    <xf numFmtId="164" fontId="0" fillId="0" borderId="0" xfId="1" applyNumberFormat="1" applyFont="1" applyFill="1"/>
    <xf numFmtId="0" fontId="4" fillId="0" borderId="0" xfId="0" applyFont="1"/>
    <xf numFmtId="0" fontId="0" fillId="0" borderId="0" xfId="0" applyAlignment="1">
      <alignment horizontal="center"/>
    </xf>
    <xf numFmtId="10" fontId="5" fillId="0" borderId="9" xfId="3" applyNumberFormat="1" applyFont="1" applyFill="1" applyBorder="1" applyAlignment="1">
      <alignment horizontal="center" wrapText="1"/>
    </xf>
    <xf numFmtId="0" fontId="6" fillId="0" borderId="0" xfId="0" applyFont="1"/>
    <xf numFmtId="0" fontId="0" fillId="0" borderId="0" xfId="0" applyAlignment="1">
      <alignment horizontal="right"/>
    </xf>
    <xf numFmtId="0" fontId="5" fillId="0" borderId="18" xfId="0" applyFont="1" applyBorder="1" applyAlignment="1">
      <alignment horizontal="center" vertical="center"/>
    </xf>
    <xf numFmtId="0" fontId="2" fillId="0" borderId="0" xfId="0" applyFont="1"/>
    <xf numFmtId="164" fontId="3" fillId="0" borderId="0" xfId="1" applyNumberFormat="1" applyFont="1" applyAlignment="1"/>
    <xf numFmtId="0" fontId="8" fillId="0" borderId="0" xfId="0" applyFont="1" applyAlignment="1">
      <alignment vertical="center"/>
    </xf>
    <xf numFmtId="164" fontId="3" fillId="0" borderId="0" xfId="1" applyNumberFormat="1" applyFont="1" applyFill="1" applyBorder="1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164" fontId="2" fillId="0" borderId="0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3" fillId="0" borderId="0" xfId="1" applyNumberFormat="1" applyFont="1" applyFill="1" applyBorder="1" applyAlignment="1">
      <alignment horizontal="right"/>
    </xf>
    <xf numFmtId="0" fontId="3" fillId="0" borderId="0" xfId="0" applyFont="1" applyAlignment="1">
      <alignment vertical="center"/>
    </xf>
    <xf numFmtId="164" fontId="3" fillId="0" borderId="0" xfId="1" applyNumberFormat="1" applyFont="1" applyFill="1" applyBorder="1" applyAlignment="1">
      <alignment horizontal="right" vertical="center"/>
    </xf>
    <xf numFmtId="14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164" fontId="3" fillId="0" borderId="0" xfId="1" applyNumberFormat="1" applyFont="1" applyFill="1" applyBorder="1" applyAlignment="1">
      <alignment horizontal="left" vertical="center"/>
    </xf>
    <xf numFmtId="0" fontId="10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164" fontId="0" fillId="0" borderId="1" xfId="1" applyNumberFormat="1" applyFont="1" applyFill="1" applyBorder="1"/>
    <xf numFmtId="164" fontId="0" fillId="0" borderId="21" xfId="1" applyNumberFormat="1" applyFont="1" applyFill="1" applyBorder="1"/>
    <xf numFmtId="0" fontId="5" fillId="0" borderId="0" xfId="0" applyFont="1"/>
    <xf numFmtId="0" fontId="3" fillId="0" borderId="0" xfId="0" applyFont="1" applyAlignment="1">
      <alignment horizontal="left" indent="1"/>
    </xf>
    <xf numFmtId="164" fontId="0" fillId="0" borderId="0" xfId="0" applyNumberFormat="1"/>
    <xf numFmtId="0" fontId="11" fillId="0" borderId="0" xfId="0" applyFont="1"/>
    <xf numFmtId="164" fontId="5" fillId="0" borderId="14" xfId="1" applyNumberFormat="1" applyFont="1" applyFill="1" applyBorder="1" applyAlignment="1">
      <alignment horizontal="center" wrapText="1"/>
    </xf>
    <xf numFmtId="164" fontId="5" fillId="0" borderId="8" xfId="1" applyNumberFormat="1" applyFont="1" applyFill="1" applyBorder="1" applyAlignment="1">
      <alignment horizontal="center" wrapText="1"/>
    </xf>
    <xf numFmtId="164" fontId="5" fillId="0" borderId="15" xfId="1" applyNumberFormat="1" applyFont="1" applyFill="1" applyBorder="1" applyAlignment="1">
      <alignment horizontal="center" wrapText="1"/>
    </xf>
    <xf numFmtId="0" fontId="12" fillId="0" borderId="0" xfId="0" applyFont="1"/>
    <xf numFmtId="164" fontId="0" fillId="0" borderId="10" xfId="1" applyNumberFormat="1" applyFont="1" applyFill="1" applyBorder="1"/>
    <xf numFmtId="44" fontId="0" fillId="0" borderId="0" xfId="2" applyFont="1"/>
    <xf numFmtId="44" fontId="0" fillId="0" borderId="0" xfId="0" applyNumberFormat="1"/>
    <xf numFmtId="0" fontId="0" fillId="0" borderId="0" xfId="0" applyAlignment="1">
      <alignment wrapText="1"/>
    </xf>
    <xf numFmtId="0" fontId="12" fillId="0" borderId="0" xfId="0" applyFont="1" applyAlignment="1">
      <alignment wrapText="1"/>
    </xf>
    <xf numFmtId="164" fontId="0" fillId="0" borderId="2" xfId="1" applyNumberFormat="1" applyFont="1" applyFill="1" applyBorder="1"/>
    <xf numFmtId="164" fontId="0" fillId="0" borderId="20" xfId="1" applyNumberFormat="1" applyFont="1" applyFill="1" applyBorder="1"/>
    <xf numFmtId="0" fontId="5" fillId="0" borderId="11" xfId="0" applyFont="1" applyBorder="1"/>
    <xf numFmtId="0" fontId="5" fillId="0" borderId="13" xfId="0" applyFont="1" applyBorder="1"/>
    <xf numFmtId="164" fontId="5" fillId="0" borderId="0" xfId="1" applyNumberFormat="1" applyFont="1" applyFill="1" applyBorder="1" applyAlignment="1">
      <alignment horizontal="center" wrapText="1"/>
    </xf>
    <xf numFmtId="15" fontId="0" fillId="0" borderId="0" xfId="0" applyNumberFormat="1" applyAlignment="1">
      <alignment horizontal="center"/>
    </xf>
    <xf numFmtId="10" fontId="5" fillId="0" borderId="16" xfId="3" applyNumberFormat="1" applyFont="1" applyFill="1" applyBorder="1" applyAlignment="1">
      <alignment horizontal="center" wrapText="1"/>
    </xf>
    <xf numFmtId="164" fontId="0" fillId="0" borderId="18" xfId="1" applyNumberFormat="1" applyFont="1" applyFill="1" applyBorder="1"/>
    <xf numFmtId="164" fontId="0" fillId="0" borderId="19" xfId="1" applyNumberFormat="1" applyFont="1" applyFill="1" applyBorder="1"/>
    <xf numFmtId="164" fontId="0" fillId="0" borderId="22" xfId="1" applyNumberFormat="1" applyFont="1" applyFill="1" applyBorder="1"/>
    <xf numFmtId="164" fontId="4" fillId="0" borderId="0" xfId="1" applyNumberFormat="1" applyFont="1" applyFill="1" applyBorder="1"/>
    <xf numFmtId="10" fontId="5" fillId="0" borderId="0" xfId="3" applyNumberFormat="1" applyFont="1" applyFill="1" applyBorder="1" applyAlignment="1">
      <alignment horizontal="center" wrapText="1"/>
    </xf>
    <xf numFmtId="10" fontId="5" fillId="0" borderId="17" xfId="3" applyNumberFormat="1" applyFont="1" applyFill="1" applyBorder="1" applyAlignment="1">
      <alignment horizontal="center" wrapText="1"/>
    </xf>
    <xf numFmtId="164" fontId="0" fillId="0" borderId="25" xfId="1" applyNumberFormat="1" applyFont="1" applyFill="1" applyBorder="1"/>
    <xf numFmtId="164" fontId="0" fillId="0" borderId="21" xfId="1" applyNumberFormat="1" applyFont="1" applyFill="1" applyBorder="1" applyAlignment="1">
      <alignment horizontal="center"/>
    </xf>
    <xf numFmtId="164" fontId="0" fillId="0" borderId="20" xfId="1" applyNumberFormat="1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5" fillId="0" borderId="26" xfId="0" applyFont="1" applyBorder="1"/>
    <xf numFmtId="164" fontId="5" fillId="0" borderId="26" xfId="1" applyNumberFormat="1" applyFont="1" applyFill="1" applyBorder="1" applyAlignment="1">
      <alignment horizontal="center" wrapText="1"/>
    </xf>
    <xf numFmtId="10" fontId="5" fillId="0" borderId="26" xfId="3" applyNumberFormat="1" applyFont="1" applyFill="1" applyBorder="1" applyAlignment="1">
      <alignment horizontal="center" wrapText="1"/>
    </xf>
    <xf numFmtId="164" fontId="0" fillId="0" borderId="26" xfId="1" applyNumberFormat="1" applyFont="1" applyFill="1" applyBorder="1" applyAlignment="1">
      <alignment horizontal="center"/>
    </xf>
    <xf numFmtId="164" fontId="0" fillId="0" borderId="16" xfId="1" applyNumberFormat="1" applyFont="1" applyFill="1" applyBorder="1"/>
    <xf numFmtId="164" fontId="0" fillId="0" borderId="17" xfId="1" applyNumberFormat="1" applyFont="1" applyFill="1" applyBorder="1"/>
    <xf numFmtId="164" fontId="0" fillId="0" borderId="27" xfId="1" applyNumberFormat="1" applyFont="1" applyFill="1" applyBorder="1"/>
    <xf numFmtId="164" fontId="0" fillId="0" borderId="29" xfId="1" applyNumberFormat="1" applyFont="1" applyFill="1" applyBorder="1"/>
    <xf numFmtId="164" fontId="0" fillId="0" borderId="28" xfId="1" applyNumberFormat="1" applyFont="1" applyFill="1" applyBorder="1"/>
    <xf numFmtId="44" fontId="0" fillId="0" borderId="7" xfId="2" applyFont="1" applyBorder="1"/>
    <xf numFmtId="43" fontId="4" fillId="0" borderId="0" xfId="1" applyFont="1" applyAlignment="1">
      <alignment horizontal="left"/>
    </xf>
    <xf numFmtId="44" fontId="0" fillId="0" borderId="7" xfId="0" applyNumberFormat="1" applyBorder="1"/>
    <xf numFmtId="164" fontId="0" fillId="0" borderId="22" xfId="0" applyNumberFormat="1" applyBorder="1" applyAlignment="1">
      <alignment horizontal="right"/>
    </xf>
    <xf numFmtId="164" fontId="0" fillId="0" borderId="30" xfId="1" applyNumberFormat="1" applyFont="1" applyFill="1" applyBorder="1"/>
    <xf numFmtId="164" fontId="0" fillId="0" borderId="31" xfId="1" applyNumberFormat="1" applyFont="1" applyFill="1" applyBorder="1" applyAlignment="1">
      <alignment horizontal="center"/>
    </xf>
    <xf numFmtId="164" fontId="0" fillId="0" borderId="31" xfId="1" applyNumberFormat="1" applyFont="1" applyFill="1" applyBorder="1"/>
    <xf numFmtId="164" fontId="0" fillId="0" borderId="32" xfId="1" applyNumberFormat="1" applyFont="1" applyFill="1" applyBorder="1"/>
    <xf numFmtId="164" fontId="0" fillId="0" borderId="33" xfId="1" applyNumberFormat="1" applyFont="1" applyFill="1" applyBorder="1"/>
    <xf numFmtId="164" fontId="5" fillId="0" borderId="17" xfId="1" applyNumberFormat="1" applyFont="1" applyFill="1" applyBorder="1"/>
    <xf numFmtId="164" fontId="5" fillId="0" borderId="20" xfId="1" applyNumberFormat="1" applyFont="1" applyFill="1" applyBorder="1"/>
    <xf numFmtId="164" fontId="5" fillId="0" borderId="31" xfId="1" applyNumberFormat="1" applyFont="1" applyFill="1" applyBorder="1"/>
    <xf numFmtId="164" fontId="5" fillId="0" borderId="20" xfId="1" applyNumberFormat="1" applyFont="1" applyFill="1" applyBorder="1" applyAlignment="1">
      <alignment horizontal="center"/>
    </xf>
    <xf numFmtId="164" fontId="5" fillId="0" borderId="31" xfId="1" applyNumberFormat="1" applyFont="1" applyFill="1" applyBorder="1" applyAlignment="1">
      <alignment horizontal="center"/>
    </xf>
    <xf numFmtId="164" fontId="5" fillId="0" borderId="23" xfId="1" applyNumberFormat="1" applyFont="1" applyFill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164" fontId="10" fillId="0" borderId="0" xfId="1" applyNumberFormat="1" applyFont="1" applyFill="1" applyBorder="1" applyAlignment="1">
      <alignment horizontal="right"/>
    </xf>
    <xf numFmtId="0" fontId="10" fillId="0" borderId="0" xfId="0" applyFont="1" applyAlignment="1">
      <alignment horizontal="left" indent="1"/>
    </xf>
    <xf numFmtId="14" fontId="3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center"/>
    </xf>
    <xf numFmtId="165" fontId="0" fillId="0" borderId="0" xfId="2" applyNumberFormat="1" applyFont="1" applyFill="1" applyBorder="1"/>
    <xf numFmtId="43" fontId="4" fillId="0" borderId="0" xfId="1" applyFont="1" applyFill="1" applyBorder="1"/>
    <xf numFmtId="0" fontId="10" fillId="0" borderId="0" xfId="0" applyFont="1" applyAlignment="1">
      <alignment horizontal="left" vertical="center" indent="1"/>
    </xf>
    <xf numFmtId="164" fontId="5" fillId="0" borderId="10" xfId="1" applyNumberFormat="1" applyFont="1" applyFill="1" applyBorder="1" applyAlignment="1">
      <alignment horizontal="center"/>
    </xf>
    <xf numFmtId="44" fontId="0" fillId="0" borderId="0" xfId="2" applyFont="1" applyBorder="1"/>
    <xf numFmtId="0" fontId="0" fillId="0" borderId="36" xfId="0" applyBorder="1"/>
    <xf numFmtId="44" fontId="0" fillId="0" borderId="36" xfId="2" applyFont="1" applyBorder="1"/>
    <xf numFmtId="44" fontId="0" fillId="0" borderId="36" xfId="0" applyNumberFormat="1" applyBorder="1"/>
    <xf numFmtId="0" fontId="3" fillId="0" borderId="0" xfId="0" applyFont="1" applyAlignment="1">
      <alignment horizontal="right" wrapText="1"/>
    </xf>
    <xf numFmtId="8" fontId="0" fillId="0" borderId="0" xfId="0" applyNumberFormat="1"/>
    <xf numFmtId="164" fontId="5" fillId="0" borderId="2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4" fontId="0" fillId="0" borderId="0" xfId="1" applyNumberFormat="1" applyFont="1" applyBorder="1"/>
    <xf numFmtId="0" fontId="0" fillId="0" borderId="0" xfId="0" applyAlignment="1">
      <alignment vertical="top"/>
    </xf>
    <xf numFmtId="0" fontId="16" fillId="0" borderId="0" xfId="0" applyFont="1" applyAlignment="1">
      <alignment vertical="top"/>
    </xf>
    <xf numFmtId="9" fontId="0" fillId="0" borderId="0" xfId="0" applyNumberFormat="1"/>
    <xf numFmtId="0" fontId="12" fillId="0" borderId="0" xfId="0" applyFont="1" applyAlignment="1">
      <alignment vertical="top"/>
    </xf>
    <xf numFmtId="44" fontId="0" fillId="0" borderId="0" xfId="2" applyFont="1" applyFill="1"/>
    <xf numFmtId="14" fontId="0" fillId="0" borderId="0" xfId="0" applyNumberFormat="1"/>
    <xf numFmtId="16" fontId="0" fillId="0" borderId="0" xfId="0" applyNumberFormat="1"/>
    <xf numFmtId="0" fontId="0" fillId="0" borderId="35" xfId="0" applyBorder="1"/>
    <xf numFmtId="165" fontId="0" fillId="0" borderId="0" xfId="2" applyNumberFormat="1" applyFont="1" applyFill="1"/>
    <xf numFmtId="165" fontId="0" fillId="0" borderId="35" xfId="2" applyNumberFormat="1" applyFont="1" applyFill="1" applyBorder="1"/>
    <xf numFmtId="165" fontId="0" fillId="0" borderId="7" xfId="0" applyNumberFormat="1" applyBorder="1"/>
    <xf numFmtId="0" fontId="5" fillId="0" borderId="0" xfId="0" applyFont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12" fillId="0" borderId="0" xfId="0" applyFont="1" applyAlignment="1">
      <alignment horizontal="center" wrapText="1"/>
    </xf>
    <xf numFmtId="0" fontId="0" fillId="0" borderId="36" xfId="0" applyBorder="1" applyAlignment="1">
      <alignment wrapText="1"/>
    </xf>
    <xf numFmtId="0" fontId="12" fillId="0" borderId="0" xfId="0" applyFont="1" applyAlignment="1">
      <alignment horizontal="center"/>
    </xf>
    <xf numFmtId="6" fontId="0" fillId="0" borderId="38" xfId="2" applyNumberFormat="1" applyFont="1" applyFill="1" applyBorder="1"/>
    <xf numFmtId="0" fontId="0" fillId="0" borderId="3" xfId="0" applyBorder="1"/>
    <xf numFmtId="165" fontId="0" fillId="0" borderId="2" xfId="2" applyNumberFormat="1" applyFont="1" applyFill="1" applyBorder="1"/>
    <xf numFmtId="165" fontId="0" fillId="0" borderId="39" xfId="2" applyNumberFormat="1" applyFont="1" applyFill="1" applyBorder="1"/>
    <xf numFmtId="164" fontId="0" fillId="0" borderId="3" xfId="0" applyNumberFormat="1" applyBorder="1"/>
    <xf numFmtId="165" fontId="0" fillId="0" borderId="37" xfId="2" applyNumberFormat="1" applyFont="1" applyFill="1" applyBorder="1"/>
    <xf numFmtId="164" fontId="0" fillId="0" borderId="34" xfId="1" applyNumberFormat="1" applyFont="1" applyFill="1" applyBorder="1"/>
    <xf numFmtId="0" fontId="0" fillId="0" borderId="34" xfId="0" applyBorder="1"/>
    <xf numFmtId="164" fontId="0" fillId="0" borderId="40" xfId="0" applyNumberFormat="1" applyBorder="1"/>
    <xf numFmtId="0" fontId="12" fillId="0" borderId="8" xfId="0" applyFont="1" applyBorder="1" applyAlignment="1">
      <alignment horizontal="center"/>
    </xf>
    <xf numFmtId="164" fontId="0" fillId="0" borderId="9" xfId="0" applyNumberFormat="1" applyBorder="1"/>
    <xf numFmtId="0" fontId="2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  <xf numFmtId="44" fontId="0" fillId="0" borderId="0" xfId="0" applyNumberFormat="1" applyAlignment="1">
      <alignment horizontal="left"/>
    </xf>
    <xf numFmtId="44" fontId="0" fillId="0" borderId="36" xfId="0" applyNumberFormat="1" applyBorder="1" applyAlignment="1">
      <alignment horizontal="left"/>
    </xf>
    <xf numFmtId="44" fontId="0" fillId="0" borderId="7" xfId="2" applyFont="1" applyBorder="1" applyAlignment="1">
      <alignment horizontal="left"/>
    </xf>
    <xf numFmtId="44" fontId="0" fillId="0" borderId="0" xfId="0" applyNumberFormat="1" applyAlignment="1">
      <alignment horizontal="right"/>
    </xf>
    <xf numFmtId="0" fontId="5" fillId="0" borderId="18" xfId="0" applyFont="1" applyBorder="1" applyAlignment="1">
      <alignment horizontal="center" wrapText="1"/>
    </xf>
    <xf numFmtId="164" fontId="5" fillId="0" borderId="18" xfId="0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34" xfId="0" applyFont="1" applyBorder="1" applyAlignment="1">
      <alignment horizontal="center" wrapText="1"/>
    </xf>
    <xf numFmtId="0" fontId="5" fillId="0" borderId="34" xfId="0" applyFont="1" applyBorder="1" applyAlignment="1">
      <alignment wrapText="1"/>
    </xf>
    <xf numFmtId="43" fontId="4" fillId="0" borderId="0" xfId="1" applyFont="1"/>
    <xf numFmtId="0" fontId="0" fillId="0" borderId="0" xfId="0" applyAlignment="1">
      <alignment vertical="center"/>
    </xf>
    <xf numFmtId="0" fontId="17" fillId="0" borderId="0" xfId="0" applyFont="1" applyAlignment="1">
      <alignment wrapText="1"/>
    </xf>
    <xf numFmtId="164" fontId="0" fillId="0" borderId="0" xfId="1" applyNumberFormat="1" applyFont="1"/>
    <xf numFmtId="164" fontId="12" fillId="0" borderId="0" xfId="1" applyNumberFormat="1" applyFont="1" applyAlignment="1">
      <alignment horizontal="center"/>
    </xf>
    <xf numFmtId="164" fontId="12" fillId="0" borderId="0" xfId="1" applyNumberFormat="1" applyFont="1" applyAlignment="1">
      <alignment horizontal="center" wrapText="1"/>
    </xf>
    <xf numFmtId="164" fontId="12" fillId="0" borderId="0" xfId="1" applyNumberFormat="1" applyFont="1" applyAlignment="1">
      <alignment horizontal="left" wrapText="1"/>
    </xf>
    <xf numFmtId="164" fontId="0" fillId="0" borderId="0" xfId="1" applyNumberFormat="1" applyFont="1" applyBorder="1" applyAlignment="1">
      <alignment horizontal="left"/>
    </xf>
    <xf numFmtId="164" fontId="0" fillId="0" borderId="0" xfId="1" applyNumberFormat="1" applyFont="1" applyBorder="1" applyAlignment="1">
      <alignment horizontal="right"/>
    </xf>
    <xf numFmtId="164" fontId="0" fillId="0" borderId="36" xfId="1" applyNumberFormat="1" applyFont="1" applyBorder="1"/>
    <xf numFmtId="164" fontId="0" fillId="0" borderId="0" xfId="1" applyNumberFormat="1" applyFont="1" applyAlignment="1">
      <alignment horizontal="left"/>
    </xf>
    <xf numFmtId="164" fontId="4" fillId="0" borderId="0" xfId="1" applyNumberFormat="1" applyFont="1"/>
    <xf numFmtId="165" fontId="0" fillId="0" borderId="0" xfId="2" applyNumberFormat="1" applyFont="1"/>
    <xf numFmtId="165" fontId="0" fillId="0" borderId="7" xfId="2" applyNumberFormat="1" applyFont="1" applyBorder="1"/>
    <xf numFmtId="165" fontId="0" fillId="0" borderId="0" xfId="0" applyNumberFormat="1"/>
    <xf numFmtId="6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164" fontId="0" fillId="0" borderId="0" xfId="1" applyNumberFormat="1" applyFont="1" applyAlignment="1"/>
    <xf numFmtId="164" fontId="0" fillId="0" borderId="0" xfId="1" applyNumberFormat="1" applyFont="1" applyAlignment="1">
      <alignment horizontal="left" wrapText="1"/>
    </xf>
    <xf numFmtId="0" fontId="5" fillId="0" borderId="0" xfId="0" applyFont="1" applyAlignment="1">
      <alignment horizontal="center" wrapText="1"/>
    </xf>
    <xf numFmtId="164" fontId="5" fillId="0" borderId="21" xfId="1" applyNumberFormat="1" applyFont="1" applyFill="1" applyBorder="1"/>
    <xf numFmtId="164" fontId="5" fillId="0" borderId="0" xfId="0" applyNumberFormat="1" applyFont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164" fontId="0" fillId="0" borderId="0" xfId="0" applyNumberFormat="1" applyAlignment="1">
      <alignment horizontal="right"/>
    </xf>
    <xf numFmtId="0" fontId="0" fillId="0" borderId="41" xfId="0" applyBorder="1"/>
    <xf numFmtId="0" fontId="0" fillId="0" borderId="25" xfId="0" applyBorder="1"/>
    <xf numFmtId="0" fontId="0" fillId="0" borderId="43" xfId="0" applyBorder="1" applyAlignment="1">
      <alignment wrapText="1"/>
    </xf>
    <xf numFmtId="0" fontId="0" fillId="0" borderId="43" xfId="0" applyBorder="1"/>
    <xf numFmtId="165" fontId="0" fillId="0" borderId="43" xfId="2" applyNumberFormat="1" applyFont="1" applyBorder="1"/>
    <xf numFmtId="164" fontId="0" fillId="0" borderId="43" xfId="1" applyNumberFormat="1" applyFont="1" applyBorder="1"/>
    <xf numFmtId="164" fontId="0" fillId="0" borderId="43" xfId="1" applyNumberFormat="1" applyFont="1" applyBorder="1" applyAlignment="1">
      <alignment horizontal="left"/>
    </xf>
    <xf numFmtId="0" fontId="0" fillId="0" borderId="44" xfId="0" applyBorder="1" applyAlignment="1">
      <alignment wrapText="1"/>
    </xf>
    <xf numFmtId="0" fontId="0" fillId="0" borderId="44" xfId="0" applyBorder="1"/>
    <xf numFmtId="165" fontId="0" fillId="0" borderId="44" xfId="2" applyNumberFormat="1" applyFont="1" applyBorder="1"/>
    <xf numFmtId="164" fontId="0" fillId="0" borderId="44" xfId="1" applyNumberFormat="1" applyFont="1" applyBorder="1"/>
    <xf numFmtId="164" fontId="0" fillId="0" borderId="44" xfId="1" applyNumberFormat="1" applyFont="1" applyBorder="1" applyAlignment="1">
      <alignment horizontal="left"/>
    </xf>
    <xf numFmtId="0" fontId="0" fillId="0" borderId="44" xfId="0" applyBorder="1" applyAlignment="1">
      <alignment horizontal="center"/>
    </xf>
    <xf numFmtId="164" fontId="0" fillId="0" borderId="0" xfId="1" applyNumberFormat="1" applyFont="1" applyFill="1" applyBorder="1" applyAlignment="1"/>
    <xf numFmtId="0" fontId="0" fillId="0" borderId="26" xfId="0" applyBorder="1"/>
    <xf numFmtId="164" fontId="0" fillId="0" borderId="42" xfId="1" applyNumberFormat="1" applyFont="1" applyBorder="1"/>
    <xf numFmtId="0" fontId="0" fillId="0" borderId="45" xfId="0" applyBorder="1"/>
    <xf numFmtId="0" fontId="0" fillId="0" borderId="41" xfId="0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18" fillId="0" borderId="21" xfId="1" applyNumberFormat="1" applyFont="1" applyFill="1" applyBorder="1" applyAlignment="1">
      <alignment horizontal="center"/>
    </xf>
    <xf numFmtId="0" fontId="19" fillId="0" borderId="0" xfId="0" applyFont="1"/>
    <xf numFmtId="164" fontId="0" fillId="0" borderId="44" xfId="1" applyNumberFormat="1" applyFont="1" applyFill="1" applyBorder="1"/>
    <xf numFmtId="164" fontId="0" fillId="0" borderId="43" xfId="1" applyNumberFormat="1" applyFont="1" applyFill="1" applyBorder="1"/>
    <xf numFmtId="0" fontId="3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0" fillId="0" borderId="46" xfId="0" applyBorder="1"/>
    <xf numFmtId="0" fontId="0" fillId="0" borderId="47" xfId="0" applyBorder="1"/>
    <xf numFmtId="0" fontId="0" fillId="0" borderId="47" xfId="0" applyBorder="1" applyAlignment="1">
      <alignment horizontal="center"/>
    </xf>
    <xf numFmtId="164" fontId="0" fillId="0" borderId="47" xfId="1" applyNumberFormat="1" applyFont="1" applyBorder="1"/>
    <xf numFmtId="164" fontId="0" fillId="0" borderId="14" xfId="1" applyNumberFormat="1" applyFont="1" applyFill="1" applyBorder="1"/>
    <xf numFmtId="0" fontId="5" fillId="0" borderId="47" xfId="0" applyFont="1" applyBorder="1" applyAlignment="1">
      <alignment horizontal="center"/>
    </xf>
    <xf numFmtId="164" fontId="5" fillId="0" borderId="48" xfId="1" applyNumberFormat="1" applyFont="1" applyBorder="1"/>
    <xf numFmtId="0" fontId="0" fillId="0" borderId="49" xfId="0" applyBorder="1"/>
    <xf numFmtId="164" fontId="1" fillId="0" borderId="44" xfId="1" applyNumberFormat="1" applyFont="1" applyBorder="1"/>
    <xf numFmtId="0" fontId="20" fillId="0" borderId="0" xfId="0" applyFont="1"/>
    <xf numFmtId="164" fontId="2" fillId="0" borderId="7" xfId="0" applyNumberFormat="1" applyFont="1" applyBorder="1"/>
    <xf numFmtId="0" fontId="8" fillId="0" borderId="0" xfId="0" applyFont="1"/>
    <xf numFmtId="164" fontId="8" fillId="0" borderId="0" xfId="0" applyNumberFormat="1" applyFont="1"/>
    <xf numFmtId="0" fontId="19" fillId="0" borderId="0" xfId="0" applyFont="1" applyAlignment="1">
      <alignment horizontal="left"/>
    </xf>
    <xf numFmtId="164" fontId="19" fillId="0" borderId="0" xfId="0" applyNumberFormat="1" applyFont="1"/>
    <xf numFmtId="43" fontId="0" fillId="0" borderId="0" xfId="1" applyFont="1" applyAlignment="1">
      <alignment horizontal="center"/>
    </xf>
    <xf numFmtId="164" fontId="0" fillId="0" borderId="50" xfId="0" applyNumberFormat="1" applyBorder="1"/>
    <xf numFmtId="164" fontId="3" fillId="0" borderId="0" xfId="1" applyNumberFormat="1" applyFont="1"/>
    <xf numFmtId="164" fontId="0" fillId="0" borderId="51" xfId="1" applyNumberFormat="1" applyFont="1" applyFill="1" applyBorder="1"/>
    <xf numFmtId="164" fontId="0" fillId="0" borderId="40" xfId="1" applyNumberFormat="1" applyFont="1" applyFill="1" applyBorder="1"/>
    <xf numFmtId="164" fontId="0" fillId="0" borderId="52" xfId="1" applyNumberFormat="1" applyFont="1" applyBorder="1"/>
    <xf numFmtId="165" fontId="5" fillId="0" borderId="4" xfId="2" applyNumberFormat="1" applyFont="1" applyFill="1" applyBorder="1" applyAlignment="1"/>
    <xf numFmtId="165" fontId="5" fillId="0" borderId="5" xfId="2" applyNumberFormat="1" applyFont="1" applyFill="1" applyBorder="1" applyAlignment="1"/>
    <xf numFmtId="0" fontId="0" fillId="0" borderId="53" xfId="0" applyBorder="1"/>
    <xf numFmtId="165" fontId="0" fillId="0" borderId="38" xfId="2" applyNumberFormat="1" applyFont="1" applyFill="1" applyBorder="1"/>
    <xf numFmtId="164" fontId="0" fillId="0" borderId="3" xfId="1" applyNumberFormat="1" applyFont="1" applyFill="1" applyBorder="1"/>
    <xf numFmtId="164" fontId="0" fillId="0" borderId="2" xfId="1" applyNumberFormat="1" applyFont="1" applyFill="1" applyBorder="1" applyAlignment="1">
      <alignment horizontal="left" vertical="top"/>
    </xf>
    <xf numFmtId="165" fontId="0" fillId="0" borderId="4" xfId="2" applyNumberFormat="1" applyFont="1" applyFill="1" applyBorder="1"/>
    <xf numFmtId="44" fontId="0" fillId="0" borderId="34" xfId="0" applyNumberFormat="1" applyBorder="1"/>
    <xf numFmtId="0" fontId="0" fillId="0" borderId="40" xfId="0" applyBorder="1"/>
    <xf numFmtId="164" fontId="0" fillId="0" borderId="0" xfId="1" quotePrefix="1" applyNumberFormat="1" applyFont="1" applyAlignment="1"/>
    <xf numFmtId="165" fontId="0" fillId="3" borderId="0" xfId="2" applyNumberFormat="1" applyFont="1" applyFill="1"/>
    <xf numFmtId="0" fontId="0" fillId="3" borderId="0" xfId="0" applyFill="1"/>
    <xf numFmtId="165" fontId="0" fillId="3" borderId="0" xfId="2" applyNumberFormat="1" applyFont="1" applyFill="1" applyBorder="1"/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left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164" fontId="5" fillId="0" borderId="21" xfId="1" applyNumberFormat="1" applyFont="1" applyFill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164" fontId="5" fillId="0" borderId="14" xfId="1" applyNumberFormat="1" applyFont="1" applyFill="1" applyBorder="1" applyAlignment="1">
      <alignment horizontal="center" wrapText="1"/>
    </xf>
    <xf numFmtId="164" fontId="5" fillId="0" borderId="16" xfId="1" applyNumberFormat="1" applyFont="1" applyFill="1" applyBorder="1" applyAlignment="1">
      <alignment horizontal="center" wrapText="1"/>
    </xf>
    <xf numFmtId="164" fontId="5" fillId="0" borderId="8" xfId="1" applyNumberFormat="1" applyFont="1" applyFill="1" applyBorder="1" applyAlignment="1">
      <alignment horizontal="center" wrapText="1"/>
    </xf>
    <xf numFmtId="164" fontId="5" fillId="0" borderId="9" xfId="1" applyNumberFormat="1" applyFont="1" applyFill="1" applyBorder="1" applyAlignment="1">
      <alignment horizontal="center" wrapText="1"/>
    </xf>
    <xf numFmtId="164" fontId="5" fillId="0" borderId="15" xfId="1" applyNumberFormat="1" applyFont="1" applyFill="1" applyBorder="1" applyAlignment="1">
      <alignment horizontal="center" wrapText="1"/>
    </xf>
    <xf numFmtId="164" fontId="5" fillId="0" borderId="17" xfId="1" applyNumberFormat="1" applyFont="1" applyFill="1" applyBorder="1" applyAlignment="1">
      <alignment horizontal="center" wrapText="1"/>
    </xf>
    <xf numFmtId="10" fontId="5" fillId="0" borderId="14" xfId="3" applyNumberFormat="1" applyFont="1" applyFill="1" applyBorder="1" applyAlignment="1">
      <alignment horizontal="center" wrapText="1"/>
    </xf>
    <xf numFmtId="10" fontId="5" fillId="0" borderId="16" xfId="3" applyNumberFormat="1" applyFont="1" applyFill="1" applyBorder="1" applyAlignment="1">
      <alignment horizontal="center" wrapText="1"/>
    </xf>
    <xf numFmtId="0" fontId="5" fillId="0" borderId="12" xfId="0" applyFont="1" applyBorder="1" applyAlignment="1">
      <alignment horizontal="center"/>
    </xf>
    <xf numFmtId="165" fontId="5" fillId="0" borderId="4" xfId="2" applyNumberFormat="1" applyFont="1" applyFill="1" applyBorder="1" applyAlignment="1">
      <alignment horizontal="center"/>
    </xf>
    <xf numFmtId="165" fontId="5" fillId="0" borderId="5" xfId="2" applyNumberFormat="1" applyFont="1" applyFill="1" applyBorder="1" applyAlignment="1">
      <alignment horizontal="center"/>
    </xf>
    <xf numFmtId="165" fontId="5" fillId="0" borderId="6" xfId="2" applyNumberFormat="1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64" fontId="12" fillId="0" borderId="0" xfId="1" applyNumberFormat="1" applyFont="1" applyAlignment="1">
      <alignment horizontal="center" wrapText="1"/>
    </xf>
    <xf numFmtId="0" fontId="0" fillId="0" borderId="34" xfId="0" applyBorder="1" applyAlignment="1">
      <alignment horizontal="center"/>
    </xf>
    <xf numFmtId="164" fontId="5" fillId="0" borderId="11" xfId="1" applyNumberFormat="1" applyFont="1" applyFill="1" applyBorder="1" applyAlignment="1">
      <alignment horizontal="center"/>
    </xf>
    <xf numFmtId="164" fontId="5" fillId="0" borderId="12" xfId="1" applyNumberFormat="1" applyFont="1" applyFill="1" applyBorder="1" applyAlignment="1">
      <alignment horizontal="center"/>
    </xf>
    <xf numFmtId="164" fontId="5" fillId="0" borderId="13" xfId="1" applyNumberFormat="1" applyFont="1" applyFill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164" fontId="5" fillId="0" borderId="0" xfId="1" applyNumberFormat="1" applyFont="1" applyFill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1538287</xdr:colOff>
      <xdr:row>16</xdr:row>
      <xdr:rowOff>23813</xdr:rowOff>
    </xdr:from>
    <xdr:to>
      <xdr:col>6</xdr:col>
      <xdr:colOff>314325</xdr:colOff>
      <xdr:row>27</xdr:row>
      <xdr:rowOff>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3263B314-22CA-3F79-717B-FC8B900498AD}"/>
            </a:ext>
          </a:extLst>
        </xdr:cNvPr>
        <xdr:cNvSpPr/>
      </xdr:nvSpPr>
      <xdr:spPr>
        <a:xfrm>
          <a:off x="9625012" y="2881313"/>
          <a:ext cx="595313" cy="2071687"/>
        </a:xfrm>
        <a:prstGeom prst="rightBrace">
          <a:avLst>
            <a:gd name="adj1" fmla="val 8333"/>
            <a:gd name="adj2" fmla="val 54598"/>
          </a:avLst>
        </a:prstGeom>
        <a:ln w="190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1524000</xdr:colOff>
      <xdr:row>27</xdr:row>
      <xdr:rowOff>19050</xdr:rowOff>
    </xdr:from>
    <xdr:to>
      <xdr:col>6</xdr:col>
      <xdr:colOff>304800</xdr:colOff>
      <xdr:row>36</xdr:row>
      <xdr:rowOff>28575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309DC30F-A481-4BF2-9530-A8D4517CF4AD}"/>
            </a:ext>
            <a:ext uri="{147F2762-F138-4A5C-976F-8EAC2B608ADB}">
              <a16:predDERef xmlns:a16="http://schemas.microsoft.com/office/drawing/2014/main" pred="{3263B314-22CA-3F79-717B-FC8B900498AD}"/>
            </a:ext>
          </a:extLst>
        </xdr:cNvPr>
        <xdr:cNvSpPr/>
      </xdr:nvSpPr>
      <xdr:spPr>
        <a:xfrm>
          <a:off x="9610725" y="5238750"/>
          <a:ext cx="600075" cy="1866900"/>
        </a:xfrm>
        <a:prstGeom prst="rightBrace">
          <a:avLst>
            <a:gd name="adj1" fmla="val 8333"/>
            <a:gd name="adj2" fmla="val 47959"/>
          </a:avLst>
        </a:prstGeom>
        <a:ln w="190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ichele Levine" id="{75398C7A-A77F-4173-BC52-49899F0A9CCE}" userId="S::mlevine@gfoa.org::4fc85190-f762-4f92-b047-4b0e1b9a397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1" dT="2023-02-24T15:25:23.23" personId="{75398C7A-A77F-4173-BC52-49899F0A9CCE}" id="{049126B2-59B9-4254-A291-0AE71FEAE7CD}">
    <text>Could these be capitalizable implementation costs?</text>
  </threadedComment>
  <threadedComment ref="S14" dT="2023-02-24T18:36:51.45" personId="{75398C7A-A77F-4173-BC52-49899F0A9CCE}" id="{58ED3FBF-5EC2-41F3-9DC8-A94C5D07AEF6}">
    <text>Is bifurcation correct?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workbookViewId="0">
      <selection activeCell="E35" sqref="E35"/>
    </sheetView>
  </sheetViews>
  <sheetFormatPr defaultColWidth="9" defaultRowHeight="14.25" x14ac:dyDescent="0.45"/>
  <cols>
    <col min="1" max="1" width="9.265625" customWidth="1"/>
    <col min="2" max="2" width="7.265625" customWidth="1"/>
    <col min="3" max="3" width="18.73046875" style="108" customWidth="1"/>
    <col min="4" max="4" width="11.86328125" customWidth="1"/>
    <col min="5" max="5" width="77.86328125" customWidth="1"/>
    <col min="6" max="6" width="27.265625" bestFit="1" customWidth="1"/>
    <col min="7" max="7" width="16.86328125" customWidth="1"/>
    <col min="8" max="8" width="1.265625" customWidth="1"/>
    <col min="9" max="9" width="9" customWidth="1"/>
    <col min="10" max="10" width="1.265625" customWidth="1"/>
    <col min="11" max="11" width="14.59765625" customWidth="1"/>
    <col min="12" max="12" width="1.265625" customWidth="1"/>
    <col min="13" max="13" width="14.59765625" customWidth="1"/>
    <col min="14" max="14" width="1.265625" customWidth="1"/>
    <col min="15" max="15" width="16.265625" customWidth="1"/>
    <col min="16" max="16" width="1.265625" customWidth="1"/>
    <col min="17" max="17" width="14.59765625" customWidth="1"/>
    <col min="18" max="18" width="1.265625" customWidth="1"/>
    <col min="19" max="19" width="14.59765625" customWidth="1"/>
    <col min="20" max="20" width="1.265625" customWidth="1"/>
    <col min="21" max="21" width="14.59765625" customWidth="1"/>
    <col min="22" max="22" width="1.265625" customWidth="1"/>
    <col min="23" max="23" width="14.59765625" customWidth="1"/>
  </cols>
  <sheetData>
    <row r="1" spans="1:5" x14ac:dyDescent="0.45">
      <c r="A1" s="31" t="s">
        <v>0</v>
      </c>
      <c r="B1" s="31"/>
      <c r="E1" t="s">
        <v>1</v>
      </c>
    </row>
    <row r="2" spans="1:5" x14ac:dyDescent="0.45">
      <c r="A2" s="31"/>
      <c r="B2" s="31"/>
    </row>
    <row r="3" spans="1:5" x14ac:dyDescent="0.45">
      <c r="A3" s="31" t="s">
        <v>2</v>
      </c>
    </row>
    <row r="4" spans="1:5" x14ac:dyDescent="0.45">
      <c r="A4" t="s">
        <v>3</v>
      </c>
    </row>
    <row r="5" spans="1:5" x14ac:dyDescent="0.45">
      <c r="A5" t="s">
        <v>4</v>
      </c>
    </row>
    <row r="6" spans="1:5" x14ac:dyDescent="0.45">
      <c r="B6" s="108" t="s">
        <v>5</v>
      </c>
      <c r="D6" t="s">
        <v>6</v>
      </c>
    </row>
    <row r="7" spans="1:5" x14ac:dyDescent="0.45">
      <c r="B7" s="108" t="s">
        <v>7</v>
      </c>
      <c r="D7" t="s">
        <v>8</v>
      </c>
    </row>
    <row r="8" spans="1:5" x14ac:dyDescent="0.45">
      <c r="B8" s="109" t="s">
        <v>9</v>
      </c>
      <c r="D8" t="s">
        <v>10</v>
      </c>
    </row>
    <row r="9" spans="1:5" x14ac:dyDescent="0.45">
      <c r="B9" s="108"/>
      <c r="D9" t="s">
        <v>11</v>
      </c>
    </row>
    <row r="10" spans="1:5" x14ac:dyDescent="0.45">
      <c r="B10" s="108" t="s">
        <v>12</v>
      </c>
      <c r="C10"/>
      <c r="D10" t="s">
        <v>13</v>
      </c>
    </row>
    <row r="11" spans="1:5" x14ac:dyDescent="0.45">
      <c r="B11" s="108" t="s">
        <v>14</v>
      </c>
      <c r="C11"/>
      <c r="D11" s="110">
        <v>0.06</v>
      </c>
      <c r="E11" t="s">
        <v>15</v>
      </c>
    </row>
    <row r="12" spans="1:5" x14ac:dyDescent="0.45">
      <c r="B12" s="108" t="s">
        <v>16</v>
      </c>
      <c r="C12"/>
      <c r="D12" s="110"/>
    </row>
    <row r="13" spans="1:5" x14ac:dyDescent="0.45">
      <c r="B13" s="108" t="s">
        <v>17</v>
      </c>
      <c r="C13"/>
      <c r="D13" s="110"/>
    </row>
    <row r="14" spans="1:5" x14ac:dyDescent="0.45">
      <c r="B14" s="108"/>
      <c r="C14"/>
      <c r="D14" s="110"/>
    </row>
    <row r="15" spans="1:5" x14ac:dyDescent="0.45">
      <c r="A15" s="108" t="s">
        <v>18</v>
      </c>
      <c r="C15"/>
      <c r="D15" s="110"/>
    </row>
    <row r="16" spans="1:5" x14ac:dyDescent="0.45">
      <c r="C16" s="111" t="s">
        <v>19</v>
      </c>
      <c r="D16" s="38" t="s">
        <v>20</v>
      </c>
      <c r="E16" s="38" t="s">
        <v>21</v>
      </c>
    </row>
    <row r="17" spans="3:14" x14ac:dyDescent="0.45">
      <c r="C17" t="s">
        <v>22</v>
      </c>
      <c r="D17" s="116">
        <v>6000</v>
      </c>
      <c r="E17" t="s">
        <v>23</v>
      </c>
    </row>
    <row r="18" spans="3:14" x14ac:dyDescent="0.45">
      <c r="C18" t="s">
        <v>22</v>
      </c>
      <c r="D18" s="116">
        <v>3000</v>
      </c>
      <c r="E18" t="s">
        <v>24</v>
      </c>
      <c r="F18" t="s">
        <v>25</v>
      </c>
    </row>
    <row r="19" spans="3:14" x14ac:dyDescent="0.45">
      <c r="C19" t="s">
        <v>26</v>
      </c>
      <c r="D19" s="116">
        <f>600*5</f>
        <v>3000</v>
      </c>
      <c r="E19" t="s">
        <v>27</v>
      </c>
    </row>
    <row r="20" spans="3:14" x14ac:dyDescent="0.45">
      <c r="C20" t="s">
        <v>26</v>
      </c>
      <c r="D20" s="116">
        <v>8000</v>
      </c>
      <c r="E20" t="s">
        <v>28</v>
      </c>
    </row>
    <row r="21" spans="3:14" x14ac:dyDescent="0.45">
      <c r="C21" t="s">
        <v>29</v>
      </c>
      <c r="D21" s="116">
        <f>8*600*10/12</f>
        <v>4000</v>
      </c>
      <c r="E21" t="s">
        <v>30</v>
      </c>
    </row>
    <row r="22" spans="3:14" x14ac:dyDescent="0.45">
      <c r="C22" t="s">
        <v>29</v>
      </c>
      <c r="D22" s="116">
        <v>8000</v>
      </c>
      <c r="E22" t="s">
        <v>31</v>
      </c>
      <c r="G22" s="232" t="s">
        <v>391</v>
      </c>
      <c r="H22" s="232"/>
      <c r="I22" s="232"/>
      <c r="J22" s="232"/>
      <c r="K22" s="232"/>
      <c r="L22" s="232"/>
      <c r="M22" s="232"/>
      <c r="N22" s="232"/>
    </row>
    <row r="23" spans="3:14" x14ac:dyDescent="0.45">
      <c r="C23" t="s">
        <v>32</v>
      </c>
      <c r="D23" s="95">
        <v>3000</v>
      </c>
      <c r="E23" t="s">
        <v>33</v>
      </c>
      <c r="F23" t="s">
        <v>25</v>
      </c>
      <c r="G23" s="232"/>
      <c r="H23" s="232"/>
      <c r="I23" s="232"/>
      <c r="J23" s="232"/>
      <c r="K23" s="232"/>
      <c r="L23" s="232"/>
      <c r="M23" s="232"/>
      <c r="N23" s="232"/>
    </row>
    <row r="24" spans="3:14" x14ac:dyDescent="0.45">
      <c r="C24" s="113" t="s">
        <v>34</v>
      </c>
      <c r="D24" s="116">
        <f>12*600*3/4</f>
        <v>5400</v>
      </c>
      <c r="E24" t="s">
        <v>35</v>
      </c>
      <c r="I24" s="114"/>
    </row>
    <row r="25" spans="3:14" x14ac:dyDescent="0.45">
      <c r="C25" s="113" t="s">
        <v>34</v>
      </c>
      <c r="D25" s="116">
        <v>9000</v>
      </c>
      <c r="E25" t="s">
        <v>36</v>
      </c>
      <c r="I25" s="114"/>
    </row>
    <row r="26" spans="3:14" x14ac:dyDescent="0.45">
      <c r="C26" t="s">
        <v>34</v>
      </c>
      <c r="D26" s="116">
        <f>18000*3/4</f>
        <v>13500</v>
      </c>
      <c r="E26" t="s">
        <v>37</v>
      </c>
      <c r="I26" s="114"/>
    </row>
    <row r="27" spans="3:14" x14ac:dyDescent="0.45">
      <c r="C27" s="115" t="s">
        <v>34</v>
      </c>
      <c r="D27" s="117">
        <f>12000*3/4</f>
        <v>9000</v>
      </c>
      <c r="E27" s="115" t="s">
        <v>393</v>
      </c>
      <c r="F27" s="115"/>
    </row>
    <row r="28" spans="3:14" x14ac:dyDescent="0.45">
      <c r="C28" t="s">
        <v>38</v>
      </c>
      <c r="D28" s="95">
        <f>6000*3/4</f>
        <v>4500</v>
      </c>
      <c r="E28" t="s">
        <v>39</v>
      </c>
      <c r="F28" t="s">
        <v>25</v>
      </c>
    </row>
    <row r="29" spans="3:14" x14ac:dyDescent="0.45">
      <c r="C29" t="s">
        <v>40</v>
      </c>
      <c r="D29" s="116">
        <f>600*25</f>
        <v>15000</v>
      </c>
      <c r="E29" t="s">
        <v>41</v>
      </c>
    </row>
    <row r="30" spans="3:14" x14ac:dyDescent="0.45">
      <c r="C30" t="s">
        <v>40</v>
      </c>
      <c r="D30" s="116">
        <v>18000</v>
      </c>
      <c r="E30" t="s">
        <v>42</v>
      </c>
    </row>
    <row r="31" spans="3:14" x14ac:dyDescent="0.45">
      <c r="C31" t="s">
        <v>40</v>
      </c>
      <c r="D31" s="116">
        <v>12000</v>
      </c>
      <c r="E31" t="s">
        <v>394</v>
      </c>
      <c r="H31" s="148"/>
      <c r="I31" s="148"/>
      <c r="J31" s="148"/>
      <c r="K31" s="148"/>
      <c r="L31" s="148"/>
      <c r="M31" s="148"/>
    </row>
    <row r="32" spans="3:14" x14ac:dyDescent="0.45">
      <c r="C32" t="s">
        <v>43</v>
      </c>
      <c r="D32" s="116">
        <v>6000</v>
      </c>
      <c r="E32" t="s">
        <v>44</v>
      </c>
      <c r="F32" t="s">
        <v>25</v>
      </c>
      <c r="G32" s="232" t="s">
        <v>392</v>
      </c>
      <c r="H32" s="232"/>
      <c r="I32" s="232"/>
      <c r="J32" s="232"/>
      <c r="K32" s="232"/>
      <c r="L32" s="232"/>
      <c r="M32" s="232"/>
    </row>
    <row r="33" spans="1:6" x14ac:dyDescent="0.45">
      <c r="C33" t="s">
        <v>45</v>
      </c>
      <c r="D33" s="116">
        <f>600*25</f>
        <v>15000</v>
      </c>
      <c r="E33" t="s">
        <v>41</v>
      </c>
    </row>
    <row r="34" spans="1:6" x14ac:dyDescent="0.45">
      <c r="C34" t="s">
        <v>45</v>
      </c>
      <c r="D34" s="116">
        <v>18000</v>
      </c>
      <c r="E34" t="s">
        <v>42</v>
      </c>
    </row>
    <row r="35" spans="1:6" x14ac:dyDescent="0.45">
      <c r="C35" t="s">
        <v>45</v>
      </c>
      <c r="D35" s="116">
        <v>12000</v>
      </c>
      <c r="E35" t="s">
        <v>394</v>
      </c>
    </row>
    <row r="36" spans="1:6" x14ac:dyDescent="0.45">
      <c r="C36" t="s">
        <v>46</v>
      </c>
      <c r="D36" s="116">
        <v>6000</v>
      </c>
      <c r="E36" t="s">
        <v>47</v>
      </c>
      <c r="F36" t="s">
        <v>25</v>
      </c>
    </row>
    <row r="37" spans="1:6" ht="14.65" thickBot="1" x14ac:dyDescent="0.5">
      <c r="C37"/>
      <c r="D37" s="118">
        <f>SUM(D17:D36)</f>
        <v>178400</v>
      </c>
      <c r="E37" s="112"/>
    </row>
    <row r="38" spans="1:6" ht="14.65" thickTop="1" x14ac:dyDescent="0.45">
      <c r="E38" s="112"/>
    </row>
    <row r="39" spans="1:6" x14ac:dyDescent="0.45">
      <c r="A39" s="108" t="s">
        <v>48</v>
      </c>
      <c r="C39"/>
      <c r="D39" s="110"/>
    </row>
    <row r="40" spans="1:6" x14ac:dyDescent="0.45">
      <c r="A40" s="108" t="s">
        <v>49</v>
      </c>
      <c r="C40"/>
      <c r="D40" s="110"/>
    </row>
    <row r="41" spans="1:6" x14ac:dyDescent="0.45">
      <c r="E41" s="112"/>
    </row>
    <row r="42" spans="1:6" x14ac:dyDescent="0.45">
      <c r="E42" s="112"/>
    </row>
    <row r="43" spans="1:6" x14ac:dyDescent="0.45">
      <c r="E43" s="112"/>
    </row>
    <row r="44" spans="1:6" x14ac:dyDescent="0.45">
      <c r="E44" s="112"/>
    </row>
    <row r="45" spans="1:6" x14ac:dyDescent="0.45">
      <c r="E45" s="112"/>
    </row>
    <row r="46" spans="1:6" x14ac:dyDescent="0.45">
      <c r="E46" s="112"/>
    </row>
    <row r="47" spans="1:6" x14ac:dyDescent="0.45">
      <c r="E47" s="112"/>
    </row>
  </sheetData>
  <mergeCells count="2">
    <mergeCell ref="G22:N23"/>
    <mergeCell ref="G32:M32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7"/>
  <sheetViews>
    <sheetView tabSelected="1" workbookViewId="0"/>
  </sheetViews>
  <sheetFormatPr defaultRowHeight="14.25" x14ac:dyDescent="0.45"/>
  <cols>
    <col min="1" max="1" width="14.265625" style="42" customWidth="1"/>
    <col min="2" max="2" width="75.59765625" bestFit="1" customWidth="1"/>
    <col min="3" max="3" width="12.59765625" bestFit="1" customWidth="1"/>
    <col min="4" max="4" width="0.86328125" customWidth="1"/>
    <col min="5" max="5" width="11.265625" bestFit="1" customWidth="1"/>
    <col min="6" max="6" width="0.86328125" customWidth="1"/>
    <col min="7" max="7" width="13.73046875" customWidth="1"/>
    <col min="8" max="8" width="2" style="121" customWidth="1"/>
    <col min="9" max="9" width="12" customWidth="1"/>
    <col min="10" max="10" width="12" bestFit="1" customWidth="1"/>
    <col min="11" max="11" width="0.86328125" customWidth="1"/>
    <col min="12" max="13" width="12" bestFit="1" customWidth="1"/>
    <col min="14" max="14" width="0.86328125" customWidth="1"/>
    <col min="15" max="15" width="84.59765625" bestFit="1" customWidth="1"/>
  </cols>
  <sheetData>
    <row r="1" spans="1:15" ht="57" customHeight="1" x14ac:dyDescent="0.45">
      <c r="A1" s="119" t="s">
        <v>50</v>
      </c>
      <c r="B1" s="120" t="s">
        <v>51</v>
      </c>
      <c r="C1" s="108">
        <v>33</v>
      </c>
      <c r="D1" s="108"/>
      <c r="E1" s="234" t="s">
        <v>52</v>
      </c>
      <c r="F1" s="234"/>
      <c r="G1" s="234"/>
      <c r="H1" s="234"/>
      <c r="I1" s="234"/>
    </row>
    <row r="3" spans="1:15" ht="30" customHeight="1" x14ac:dyDescent="0.45">
      <c r="A3" s="235" t="s">
        <v>53</v>
      </c>
      <c r="B3" s="235"/>
      <c r="C3" s="236" t="s">
        <v>54</v>
      </c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</row>
    <row r="4" spans="1:15" s="38" customFormat="1" ht="30" customHeight="1" x14ac:dyDescent="0.45">
      <c r="A4" s="43"/>
      <c r="C4" s="124"/>
      <c r="D4" s="124"/>
      <c r="E4" s="237" t="s">
        <v>55</v>
      </c>
      <c r="F4" s="122"/>
      <c r="G4" s="237" t="s">
        <v>56</v>
      </c>
      <c r="H4" s="237"/>
      <c r="I4" s="237"/>
      <c r="J4" s="237"/>
      <c r="K4" s="122"/>
      <c r="L4" s="237" t="s">
        <v>57</v>
      </c>
      <c r="M4" s="237"/>
      <c r="N4" s="124"/>
      <c r="O4" s="124" t="s">
        <v>58</v>
      </c>
    </row>
    <row r="5" spans="1:15" s="38" customFormat="1" ht="42.75" customHeight="1" x14ac:dyDescent="0.45">
      <c r="A5" s="43" t="s">
        <v>59</v>
      </c>
      <c r="B5" s="38" t="s">
        <v>21</v>
      </c>
      <c r="C5" s="124" t="s">
        <v>20</v>
      </c>
      <c r="D5" s="124"/>
      <c r="E5" s="237"/>
      <c r="F5" s="122"/>
      <c r="G5" s="122" t="s">
        <v>60</v>
      </c>
      <c r="H5" s="137"/>
      <c r="I5" s="122" t="s">
        <v>61</v>
      </c>
      <c r="J5" s="122" t="s">
        <v>62</v>
      </c>
      <c r="K5" s="122"/>
      <c r="L5" s="122" t="s">
        <v>63</v>
      </c>
      <c r="M5" s="122" t="s">
        <v>64</v>
      </c>
      <c r="N5" s="124"/>
    </row>
    <row r="6" spans="1:15" x14ac:dyDescent="0.45">
      <c r="A6" s="42" t="str">
        <f>'Ex.1 Assumptions'!C17</f>
        <v>FY 20X0</v>
      </c>
      <c r="B6" t="str">
        <f>'Ex.1 Assumptions'!E17</f>
        <v>Consultant costs (scope, technical feasibility, RFP and specifications development)</v>
      </c>
      <c r="C6" s="40">
        <f>'Ex.1 Assumptions'!D17</f>
        <v>6000</v>
      </c>
      <c r="E6" s="41">
        <f>+C6</f>
        <v>6000</v>
      </c>
      <c r="F6" s="41"/>
      <c r="G6" s="41"/>
      <c r="H6" s="138"/>
      <c r="I6" s="41"/>
      <c r="J6" s="41"/>
      <c r="K6" s="41"/>
      <c r="L6" s="41"/>
      <c r="M6" s="41"/>
    </row>
    <row r="7" spans="1:15" x14ac:dyDescent="0.45">
      <c r="A7" s="42" t="str">
        <f>'Ex.1 Assumptions'!C18</f>
        <v>FY 20X0</v>
      </c>
      <c r="B7" t="str">
        <f>'Ex.1 Assumptions'!E18</f>
        <v>City staff time (scope, technical feasibility, RFP and specifications development)</v>
      </c>
      <c r="C7" s="40">
        <f>'Ex.1 Assumptions'!D18</f>
        <v>3000</v>
      </c>
      <c r="E7" s="41">
        <f>C7</f>
        <v>3000</v>
      </c>
      <c r="F7" s="41"/>
      <c r="G7" s="41"/>
      <c r="H7" s="138"/>
      <c r="I7" s="41"/>
      <c r="J7" s="41"/>
      <c r="K7" s="41"/>
      <c r="L7" s="41"/>
      <c r="M7" s="41"/>
    </row>
    <row r="8" spans="1:15" x14ac:dyDescent="0.45">
      <c r="A8" s="42" t="str">
        <f>'Ex.1 Assumptions'!C19</f>
        <v>1/1/X1</v>
      </c>
      <c r="B8" t="str">
        <f>'Ex.1 Assumptions'!E19</f>
        <v xml:space="preserve">Five full licenses full year @ $600 </v>
      </c>
      <c r="C8" s="40">
        <f>'Ex.1 Assumptions'!D19</f>
        <v>3000</v>
      </c>
      <c r="E8" s="41"/>
      <c r="F8" s="41"/>
      <c r="G8" s="41">
        <f>+C8</f>
        <v>3000</v>
      </c>
      <c r="H8" s="141" t="s">
        <v>65</v>
      </c>
      <c r="I8" s="41"/>
      <c r="J8" s="41"/>
      <c r="K8" s="41"/>
      <c r="L8" s="41"/>
      <c r="O8" s="233" t="s">
        <v>66</v>
      </c>
    </row>
    <row r="9" spans="1:15" x14ac:dyDescent="0.45">
      <c r="A9" s="42" t="str">
        <f>'Ex.1 Assumptions'!C20</f>
        <v>1/1/X1</v>
      </c>
      <c r="B9" t="str">
        <f>'Ex.1 Assumptions'!E20</f>
        <v>First installment for implementation</v>
      </c>
      <c r="C9" s="40">
        <f>'Ex.1 Assumptions'!D20</f>
        <v>8000</v>
      </c>
      <c r="E9" s="41"/>
      <c r="F9" s="41"/>
      <c r="G9" s="41">
        <f>+C9</f>
        <v>8000</v>
      </c>
      <c r="H9" s="141"/>
      <c r="I9" s="41"/>
      <c r="J9" s="41"/>
      <c r="K9" s="41"/>
      <c r="L9" s="41"/>
      <c r="M9" s="41"/>
      <c r="O9" s="233"/>
    </row>
    <row r="10" spans="1:15" x14ac:dyDescent="0.45">
      <c r="A10" s="42" t="str">
        <f>'Ex.1 Assumptions'!C21</f>
        <v>3/1/X1</v>
      </c>
      <c r="B10" t="str">
        <f>'Ex.1 Assumptions'!E21</f>
        <v xml:space="preserve">Eight full licenses @ $600 for 10/12 months </v>
      </c>
      <c r="C10" s="40">
        <f>'Ex.1 Assumptions'!D21</f>
        <v>4000</v>
      </c>
      <c r="E10" s="41"/>
      <c r="F10" s="41"/>
      <c r="G10" s="41">
        <f>+C10</f>
        <v>4000</v>
      </c>
      <c r="H10" s="141" t="s">
        <v>65</v>
      </c>
      <c r="I10" s="41"/>
      <c r="J10" s="41"/>
      <c r="K10" s="41"/>
      <c r="L10" s="41"/>
      <c r="O10" s="233"/>
    </row>
    <row r="11" spans="1:15" x14ac:dyDescent="0.45">
      <c r="A11" s="42" t="str">
        <f>'Ex.1 Assumptions'!C22</f>
        <v>3/1/X1</v>
      </c>
      <c r="B11" t="str">
        <f>'Ex.1 Assumptions'!E22</f>
        <v>Second installment for implementation</v>
      </c>
      <c r="C11" s="99">
        <f>'Ex.1 Assumptions'!D22</f>
        <v>8000</v>
      </c>
      <c r="E11" s="41"/>
      <c r="F11" s="41"/>
      <c r="G11" s="41">
        <f>+C11</f>
        <v>8000</v>
      </c>
      <c r="H11" s="138"/>
      <c r="I11" s="41"/>
      <c r="J11" s="41"/>
      <c r="K11" s="41"/>
      <c r="L11" s="41"/>
      <c r="M11" s="41"/>
    </row>
    <row r="12" spans="1:15" x14ac:dyDescent="0.45">
      <c r="A12" s="42" t="str">
        <f>'Ex.1 Assumptions'!C23</f>
        <v>3/31/X1</v>
      </c>
      <c r="B12" t="str">
        <f>'Ex.1 Assumptions'!E23</f>
        <v>City staff time for implementation, of which $960 is for  training</v>
      </c>
      <c r="C12" s="99">
        <f>'Ex.1 Assumptions'!D23</f>
        <v>3000</v>
      </c>
      <c r="E12" s="41"/>
      <c r="F12" s="41"/>
      <c r="I12" s="41">
        <f>+C12-J12</f>
        <v>2040</v>
      </c>
      <c r="J12" s="41">
        <f>1015-55</f>
        <v>960</v>
      </c>
      <c r="K12" s="41"/>
      <c r="L12" s="41"/>
      <c r="O12" t="s">
        <v>67</v>
      </c>
    </row>
    <row r="13" spans="1:15" x14ac:dyDescent="0.45">
      <c r="A13" s="42" t="str">
        <f>'Ex.1 Assumptions'!C24</f>
        <v>4/1/X1</v>
      </c>
      <c r="B13" t="str">
        <f>'Ex.1 Assumptions'!E24</f>
        <v>Twelve full licenses @ $600 for 9/12 months</v>
      </c>
      <c r="C13" s="40">
        <f>'Ex.1 Assumptions'!D24</f>
        <v>5400</v>
      </c>
      <c r="E13" s="41"/>
      <c r="F13" s="41"/>
      <c r="G13" s="41">
        <f>+C13</f>
        <v>5400</v>
      </c>
      <c r="H13" s="138"/>
      <c r="I13" s="41"/>
      <c r="J13" s="41"/>
      <c r="K13" s="41"/>
      <c r="L13" s="41"/>
      <c r="M13" s="41"/>
    </row>
    <row r="14" spans="1:15" x14ac:dyDescent="0.45">
      <c r="A14" s="42" t="str">
        <f>'Ex.1 Assumptions'!C25</f>
        <v>4/1/X1</v>
      </c>
      <c r="B14" t="str">
        <f>'Ex.1 Assumptions'!E25</f>
        <v>Final installment for implementation, of which $3,000 is for data conversion and training</v>
      </c>
      <c r="C14" s="40">
        <f>'Ex.1 Assumptions'!D25</f>
        <v>9000</v>
      </c>
      <c r="E14" s="41"/>
      <c r="F14" s="41"/>
      <c r="G14" s="41">
        <f>+C14-J14</f>
        <v>6000</v>
      </c>
      <c r="H14" s="138"/>
      <c r="J14" s="41">
        <v>3000</v>
      </c>
      <c r="K14" s="41"/>
      <c r="L14" s="41"/>
      <c r="O14" t="s">
        <v>68</v>
      </c>
    </row>
    <row r="15" spans="1:15" x14ac:dyDescent="0.45">
      <c r="A15" s="42" t="str">
        <f>'Ex.1 Assumptions'!C26</f>
        <v>4/1/X1</v>
      </c>
      <c r="B15" t="str">
        <f>'Ex.1 Assumptions'!E26</f>
        <v>Block of 50,000 user licenses @ $18,000 for 9/12 months</v>
      </c>
      <c r="C15" s="40">
        <f>'Ex.1 Assumptions'!D26</f>
        <v>13500</v>
      </c>
      <c r="E15" s="41"/>
      <c r="F15" s="41"/>
      <c r="G15" s="41">
        <f>+C15</f>
        <v>13500</v>
      </c>
      <c r="H15" s="138"/>
      <c r="I15" s="41"/>
      <c r="J15" s="41"/>
      <c r="K15" s="41"/>
      <c r="L15" s="41"/>
    </row>
    <row r="16" spans="1:15" x14ac:dyDescent="0.45">
      <c r="A16" s="123" t="str">
        <f>'Ex.1 Assumptions'!C27</f>
        <v>4/1/X1</v>
      </c>
      <c r="B16" s="100" t="str">
        <f>'Ex.1 Assumptions'!E27</f>
        <v>Annual maintenance/support @ $12,000 for 9/12 months</v>
      </c>
      <c r="C16" s="101">
        <f>'Ex.1 Assumptions'!D27</f>
        <v>9000</v>
      </c>
      <c r="D16" s="100"/>
      <c r="E16" s="102"/>
      <c r="F16" s="41"/>
      <c r="G16" s="102"/>
      <c r="H16" s="139"/>
      <c r="I16" s="102"/>
      <c r="J16" s="102"/>
      <c r="K16" s="41"/>
      <c r="L16" s="102"/>
      <c r="M16" s="102">
        <f>+C16</f>
        <v>9000</v>
      </c>
    </row>
    <row r="17" spans="1:13" x14ac:dyDescent="0.45">
      <c r="A17" s="42" t="str">
        <f>'Ex.1 Assumptions'!C28</f>
        <v>April-Dec 20X1</v>
      </c>
      <c r="B17" t="str">
        <f>'Ex.1 Assumptions'!E28</f>
        <v>City staff time for system administration @ $6,000 for 9/12 months</v>
      </c>
      <c r="C17" s="40">
        <f>'Ex.1 Assumptions'!D28</f>
        <v>4500</v>
      </c>
      <c r="M17" s="41">
        <f>+C17</f>
        <v>4500</v>
      </c>
    </row>
    <row r="18" spans="1:13" x14ac:dyDescent="0.45">
      <c r="A18" s="42" t="str">
        <f>'Ex.1 Assumptions'!C29</f>
        <v>1/1/X2</v>
      </c>
      <c r="B18" t="str">
        <f>'Ex.1 Assumptions'!E29</f>
        <v>25 full licenses for year @ $600</v>
      </c>
      <c r="C18" s="40">
        <f>'Ex.1 Assumptions'!D29</f>
        <v>15000</v>
      </c>
      <c r="E18" s="41"/>
      <c r="F18" s="41"/>
      <c r="I18" s="41"/>
      <c r="J18" s="41"/>
      <c r="K18" s="41"/>
      <c r="L18" s="41">
        <f>+C18</f>
        <v>15000</v>
      </c>
      <c r="M18" s="41"/>
    </row>
    <row r="19" spans="1:13" x14ac:dyDescent="0.45">
      <c r="A19" s="42" t="str">
        <f>'Ex.1 Assumptions'!C30</f>
        <v>1/1/X2</v>
      </c>
      <c r="B19" t="str">
        <f>'Ex.1 Assumptions'!E30</f>
        <v>Block of 50,000 user licenses @ $18,000 for year</v>
      </c>
      <c r="C19" s="40">
        <f>'Ex.1 Assumptions'!D30</f>
        <v>18000</v>
      </c>
      <c r="E19" s="41"/>
      <c r="F19" s="41"/>
      <c r="I19" s="41"/>
      <c r="J19" s="41"/>
      <c r="K19" s="41"/>
      <c r="L19" s="41">
        <f>+C19</f>
        <v>18000</v>
      </c>
      <c r="M19" s="41"/>
    </row>
    <row r="20" spans="1:13" x14ac:dyDescent="0.45">
      <c r="A20" s="42" t="str">
        <f>'Ex.1 Assumptions'!C31</f>
        <v>1/1/X2</v>
      </c>
      <c r="B20" t="str">
        <f>'Ex.1 Assumptions'!E31</f>
        <v xml:space="preserve">Annual maintenance/support @ $12,000 </v>
      </c>
      <c r="C20" s="40">
        <f>'Ex.1 Assumptions'!D31</f>
        <v>12000</v>
      </c>
      <c r="E20" s="41"/>
      <c r="F20" s="41"/>
      <c r="I20" s="41"/>
      <c r="J20" s="41"/>
      <c r="K20" s="41"/>
      <c r="L20" s="41"/>
      <c r="M20" s="41">
        <f>+C20</f>
        <v>12000</v>
      </c>
    </row>
    <row r="21" spans="1:13" x14ac:dyDescent="0.45">
      <c r="A21" s="42" t="str">
        <f>'Ex.1 Assumptions'!C32</f>
        <v>FY 20X2</v>
      </c>
      <c r="B21" t="str">
        <f>'Ex.1 Assumptions'!E32</f>
        <v>City staff time for system administration @ $6,000</v>
      </c>
      <c r="C21" s="40">
        <f>'Ex.1 Assumptions'!D32</f>
        <v>6000</v>
      </c>
      <c r="E21" s="41"/>
      <c r="F21" s="41"/>
      <c r="I21" s="41"/>
      <c r="J21" s="41"/>
      <c r="K21" s="41"/>
      <c r="L21" s="41"/>
      <c r="M21" s="41">
        <f>+C21</f>
        <v>6000</v>
      </c>
    </row>
    <row r="22" spans="1:13" x14ac:dyDescent="0.45">
      <c r="A22" s="42" t="str">
        <f>'Ex.1 Assumptions'!C33</f>
        <v>1/1/X3</v>
      </c>
      <c r="B22" t="str">
        <f>'Ex.1 Assumptions'!E33</f>
        <v>25 full licenses for year @ $600</v>
      </c>
      <c r="C22" s="40">
        <f>'Ex.1 Assumptions'!D33</f>
        <v>15000</v>
      </c>
      <c r="E22" s="41"/>
      <c r="F22" s="41"/>
      <c r="I22" s="41"/>
      <c r="J22" s="41"/>
      <c r="K22" s="41"/>
      <c r="L22" s="41">
        <f>+C22</f>
        <v>15000</v>
      </c>
      <c r="M22" s="41"/>
    </row>
    <row r="23" spans="1:13" x14ac:dyDescent="0.45">
      <c r="A23" s="42" t="str">
        <f>'Ex.1 Assumptions'!C34</f>
        <v>1/1/X3</v>
      </c>
      <c r="B23" t="str">
        <f>'Ex.1 Assumptions'!E34</f>
        <v>Block of 50,000 user licenses @ $18,000 for year</v>
      </c>
      <c r="C23" s="40">
        <f>'Ex.1 Assumptions'!D34</f>
        <v>18000</v>
      </c>
      <c r="E23" s="41"/>
      <c r="F23" s="41"/>
      <c r="I23" s="41"/>
      <c r="J23" s="41"/>
      <c r="K23" s="41"/>
      <c r="L23" s="41">
        <f>+C23</f>
        <v>18000</v>
      </c>
      <c r="M23" s="41"/>
    </row>
    <row r="24" spans="1:13" x14ac:dyDescent="0.45">
      <c r="A24" s="42" t="str">
        <f>'Ex.1 Assumptions'!C35</f>
        <v>1/1/X3</v>
      </c>
      <c r="B24" t="str">
        <f>'Ex.1 Assumptions'!E35</f>
        <v xml:space="preserve">Annual maintenance/support @ $12,000 </v>
      </c>
      <c r="C24" s="40">
        <f>'Ex.1 Assumptions'!D35</f>
        <v>12000</v>
      </c>
      <c r="E24" s="41"/>
      <c r="F24" s="41"/>
      <c r="G24" s="41"/>
      <c r="H24" s="138"/>
      <c r="I24" s="41"/>
      <c r="J24" s="41"/>
      <c r="K24" s="41"/>
      <c r="L24" s="41"/>
      <c r="M24" s="41">
        <f>+C24</f>
        <v>12000</v>
      </c>
    </row>
    <row r="25" spans="1:13" x14ac:dyDescent="0.45">
      <c r="A25" s="42" t="str">
        <f>'Ex.1 Assumptions'!C36</f>
        <v>FY 20X3</v>
      </c>
      <c r="B25" t="str">
        <f>'Ex.1 Assumptions'!E36</f>
        <v xml:space="preserve">City staff time for system administration @ $6,000 </v>
      </c>
      <c r="C25" s="40">
        <f>'Ex.1 Assumptions'!D36</f>
        <v>6000</v>
      </c>
      <c r="E25" s="41"/>
      <c r="F25" s="41"/>
      <c r="G25" s="41"/>
      <c r="H25" s="138"/>
      <c r="I25" s="41"/>
      <c r="J25" s="41"/>
      <c r="K25" s="41"/>
      <c r="L25" s="41"/>
      <c r="M25" s="41">
        <f>+C25</f>
        <v>6000</v>
      </c>
    </row>
    <row r="26" spans="1:13" ht="14.65" thickBot="1" x14ac:dyDescent="0.5">
      <c r="C26" s="72">
        <f>SUM(C6:C25)</f>
        <v>178400</v>
      </c>
      <c r="E26" s="72">
        <f>SUM(E6:E25)</f>
        <v>9000</v>
      </c>
      <c r="F26" s="99"/>
      <c r="G26" s="72">
        <f>SUM(G6:G25)</f>
        <v>47900</v>
      </c>
      <c r="H26" s="140"/>
      <c r="I26" s="72">
        <f>SUM(I6:I25)</f>
        <v>2040</v>
      </c>
      <c r="J26" s="72">
        <f>SUM(J6:J25)</f>
        <v>3960</v>
      </c>
      <c r="K26" s="99"/>
      <c r="L26" s="72">
        <f>SUM(L6:L25)</f>
        <v>66000</v>
      </c>
      <c r="M26" s="72">
        <f>SUM(M6:M25)</f>
        <v>49500</v>
      </c>
    </row>
    <row r="27" spans="1:13" ht="14.65" thickTop="1" x14ac:dyDescent="0.45">
      <c r="G27" s="41"/>
      <c r="H27" s="138"/>
      <c r="L27" s="41"/>
      <c r="M27" s="73">
        <f>SUM(E26:M26)-C26</f>
        <v>0</v>
      </c>
    </row>
  </sheetData>
  <mergeCells count="7">
    <mergeCell ref="O8:O10"/>
    <mergeCell ref="E1:I1"/>
    <mergeCell ref="A3:B3"/>
    <mergeCell ref="C3:O3"/>
    <mergeCell ref="G4:J4"/>
    <mergeCell ref="L4:M4"/>
    <mergeCell ref="E4:E5"/>
  </mergeCells>
  <pageMargins left="0.7" right="0.7" top="0.75" bottom="0.75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8"/>
  <sheetViews>
    <sheetView workbookViewId="0"/>
  </sheetViews>
  <sheetFormatPr defaultColWidth="9" defaultRowHeight="14.25" x14ac:dyDescent="0.45"/>
  <cols>
    <col min="1" max="1" width="3" customWidth="1"/>
    <col min="2" max="2" width="6.73046875" customWidth="1"/>
    <col min="3" max="3" width="15.86328125" style="5" customWidth="1"/>
    <col min="4" max="4" width="2" style="5" customWidth="1"/>
    <col min="5" max="5" width="20.265625" customWidth="1"/>
    <col min="6" max="6" width="18.59765625" customWidth="1"/>
    <col min="7" max="7" width="1.265625" customWidth="1"/>
    <col min="8" max="8" width="13" customWidth="1"/>
    <col min="9" max="9" width="11.59765625" bestFit="1" customWidth="1"/>
    <col min="10" max="10" width="13" customWidth="1"/>
    <col min="11" max="11" width="10.86328125" customWidth="1"/>
    <col min="12" max="12" width="9.265625" customWidth="1"/>
    <col min="13" max="13" width="12.86328125" customWidth="1"/>
    <col min="14" max="14" width="10.265625" style="3" customWidth="1"/>
    <col min="15" max="15" width="1.265625" customWidth="1"/>
    <col min="16" max="16" width="12.86328125" customWidth="1"/>
    <col min="17" max="17" width="12.265625" style="3" customWidth="1"/>
    <col min="19" max="19" width="5.265625" customWidth="1"/>
    <col min="22" max="22" width="5.86328125" bestFit="1" customWidth="1"/>
  </cols>
  <sheetData>
    <row r="1" spans="1:22" x14ac:dyDescent="0.45">
      <c r="A1" s="31" t="s">
        <v>69</v>
      </c>
      <c r="B1" s="31"/>
    </row>
    <row r="2" spans="1:22" x14ac:dyDescent="0.45">
      <c r="A2" s="31"/>
      <c r="B2" s="31"/>
      <c r="I2" s="95"/>
      <c r="J2" s="95"/>
      <c r="K2" s="95"/>
      <c r="L2" s="95"/>
    </row>
    <row r="3" spans="1:22" ht="45" customHeight="1" x14ac:dyDescent="0.45">
      <c r="A3" s="235" t="s">
        <v>70</v>
      </c>
      <c r="B3" s="235"/>
      <c r="C3" s="235"/>
      <c r="D3" s="144"/>
      <c r="E3" s="146"/>
      <c r="F3" s="145" t="s">
        <v>71</v>
      </c>
      <c r="G3" s="31"/>
      <c r="H3" s="145" t="s">
        <v>72</v>
      </c>
      <c r="J3" s="253" t="s">
        <v>73</v>
      </c>
      <c r="K3" s="254"/>
      <c r="L3" s="254"/>
      <c r="M3" s="254"/>
      <c r="N3" s="254"/>
      <c r="O3" s="254"/>
      <c r="P3" s="254"/>
      <c r="Q3" s="255"/>
      <c r="V3" s="104"/>
    </row>
    <row r="4" spans="1:22" ht="14.65" thickBot="1" x14ac:dyDescent="0.5">
      <c r="A4" s="31"/>
      <c r="B4" s="121" t="s">
        <v>74</v>
      </c>
      <c r="E4" s="41">
        <f>+'Ex.1 Term &amp; Cost Classification'!C8+'Ex.1 Term &amp; Cost Classification'!C9</f>
        <v>11000</v>
      </c>
      <c r="F4" s="41">
        <f>+E4</f>
        <v>11000</v>
      </c>
      <c r="J4" s="125">
        <f>ROUND(NPV(F16,E22:E53),0)</f>
        <v>61270</v>
      </c>
      <c r="K4" t="s">
        <v>75</v>
      </c>
      <c r="L4" s="2"/>
      <c r="N4"/>
      <c r="O4" s="2"/>
      <c r="Q4" s="126"/>
    </row>
    <row r="5" spans="1:22" ht="14.65" thickTop="1" x14ac:dyDescent="0.45">
      <c r="B5" s="121" t="s">
        <v>76</v>
      </c>
      <c r="E5" s="41">
        <f>+'Ex.1 Term &amp; Cost Classification'!C10+'Ex.1 Term &amp; Cost Classification'!C11</f>
        <v>12000</v>
      </c>
      <c r="F5" s="41">
        <f>+E5</f>
        <v>12000</v>
      </c>
      <c r="J5" s="127"/>
      <c r="L5" s="2"/>
      <c r="N5"/>
      <c r="O5" s="2"/>
      <c r="Q5" s="126"/>
    </row>
    <row r="6" spans="1:22" x14ac:dyDescent="0.45">
      <c r="A6" s="31"/>
      <c r="B6" s="121" t="s">
        <v>77</v>
      </c>
      <c r="E6" s="41">
        <f>+'Ex.1 Term &amp; Cost Classification'!C13+'Ex.1 Term &amp; Cost Classification'!C14+'Ex.1 Term &amp; Cost Classification'!C15+'Ex.1 Term &amp; Cost Classification'!C16</f>
        <v>36900</v>
      </c>
      <c r="F6" s="41">
        <f>+E6-H6</f>
        <v>24900</v>
      </c>
      <c r="H6" s="41">
        <f>+'Ex.1 Term &amp; Cost Classification'!J14+'Ex.1 Term &amp; Cost Classification'!M16</f>
        <v>12000</v>
      </c>
      <c r="J6" s="127">
        <f>+J4</f>
        <v>61270</v>
      </c>
      <c r="K6" t="s">
        <v>78</v>
      </c>
      <c r="L6" s="2"/>
      <c r="N6"/>
      <c r="O6" s="2"/>
      <c r="Q6" s="126"/>
    </row>
    <row r="7" spans="1:22" ht="14.65" thickBot="1" x14ac:dyDescent="0.5">
      <c r="A7" s="31"/>
      <c r="B7" s="5"/>
      <c r="E7" s="74">
        <f>SUM(E4:E6)</f>
        <v>59900</v>
      </c>
      <c r="F7" s="74">
        <f>SUM(F4:F6)</f>
        <v>47900</v>
      </c>
      <c r="H7" s="74">
        <f>SUM(H6)</f>
        <v>12000</v>
      </c>
      <c r="J7" s="44">
        <f>+F7</f>
        <v>47900</v>
      </c>
      <c r="K7" t="s">
        <v>79</v>
      </c>
      <c r="L7" s="2"/>
      <c r="N7"/>
      <c r="O7" s="2"/>
      <c r="Q7" s="126"/>
    </row>
    <row r="8" spans="1:22" ht="29.25" customHeight="1" thickTop="1" x14ac:dyDescent="0.45">
      <c r="A8" s="238" t="s">
        <v>80</v>
      </c>
      <c r="B8" s="238"/>
      <c r="C8" s="238"/>
      <c r="E8" s="41"/>
      <c r="J8" s="44">
        <f>+'Ex.1 Term &amp; Cost Classification'!I26</f>
        <v>2040</v>
      </c>
      <c r="K8" t="s">
        <v>81</v>
      </c>
      <c r="L8" s="2"/>
      <c r="N8"/>
      <c r="O8" s="2"/>
      <c r="Q8" s="126"/>
    </row>
    <row r="9" spans="1:22" ht="14.65" thickBot="1" x14ac:dyDescent="0.5">
      <c r="A9" s="31"/>
      <c r="B9" t="s">
        <v>82</v>
      </c>
      <c r="E9" s="41">
        <f>SUM('Ex.1 Term &amp; Cost Classification'!C18:C20)</f>
        <v>45000</v>
      </c>
      <c r="F9" s="41">
        <f>SUM('Ex.1 Term &amp; Cost Classification'!L18:L19)</f>
        <v>33000</v>
      </c>
      <c r="H9" s="41">
        <f>+'Ex.1 Term &amp; Cost Classification'!M20</f>
        <v>12000</v>
      </c>
      <c r="J9" s="128">
        <f>SUM(J6:J8)</f>
        <v>111210</v>
      </c>
      <c r="K9" s="2" t="s">
        <v>83</v>
      </c>
      <c r="L9" s="2"/>
      <c r="N9"/>
      <c r="O9" s="2"/>
      <c r="Q9" s="129"/>
    </row>
    <row r="10" spans="1:22" ht="14.65" thickTop="1" x14ac:dyDescent="0.45">
      <c r="A10" s="31"/>
      <c r="B10" t="s">
        <v>84</v>
      </c>
      <c r="E10" s="41">
        <f>SUM('Ex.1 Term &amp; Cost Classification'!C22:C24)</f>
        <v>45000</v>
      </c>
      <c r="F10" s="41">
        <f>SUM('Ex.1 Term &amp; Cost Classification'!L22:L23)</f>
        <v>33000</v>
      </c>
      <c r="H10" s="41">
        <f>+'Ex.1 Term &amp; Cost Classification'!M24</f>
        <v>12000</v>
      </c>
      <c r="J10" s="130"/>
      <c r="K10" s="131"/>
      <c r="L10" s="131"/>
      <c r="M10" s="132"/>
      <c r="N10" s="132"/>
      <c r="O10" s="131"/>
      <c r="P10" s="132"/>
      <c r="Q10" s="133"/>
    </row>
    <row r="11" spans="1:22" x14ac:dyDescent="0.45">
      <c r="A11" s="31"/>
      <c r="E11" s="41"/>
      <c r="F11" s="41"/>
      <c r="H11" s="41"/>
      <c r="M11" s="95"/>
      <c r="N11" s="2"/>
      <c r="O11" s="2"/>
      <c r="Q11"/>
      <c r="R11" s="2"/>
      <c r="T11" s="33"/>
    </row>
    <row r="12" spans="1:22" x14ac:dyDescent="0.45">
      <c r="A12" s="31" t="s">
        <v>85</v>
      </c>
      <c r="B12" s="5"/>
      <c r="D12" s="41"/>
      <c r="H12" s="95"/>
      <c r="J12" s="95"/>
      <c r="K12" s="95"/>
      <c r="L12" s="95"/>
      <c r="M12" s="2"/>
      <c r="N12" s="2"/>
      <c r="Q12" s="2"/>
      <c r="S12" s="33"/>
    </row>
    <row r="13" spans="1:22" ht="14.65" thickBot="1" x14ac:dyDescent="0.5">
      <c r="C13" s="106"/>
      <c r="D13" s="106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4"/>
      <c r="P13" s="4"/>
      <c r="Q13" s="54"/>
      <c r="R13" s="4"/>
      <c r="S13" s="4"/>
    </row>
    <row r="14" spans="1:22" ht="30" customHeight="1" x14ac:dyDescent="0.45">
      <c r="B14" s="46"/>
      <c r="C14" s="47"/>
      <c r="D14" s="63"/>
      <c r="E14" s="242" t="s">
        <v>86</v>
      </c>
      <c r="F14" s="243"/>
      <c r="G14" s="31"/>
      <c r="H14" s="242" t="s">
        <v>87</v>
      </c>
      <c r="I14" s="252"/>
      <c r="J14" s="252"/>
      <c r="K14" s="252"/>
      <c r="L14" s="252"/>
      <c r="M14" s="252"/>
      <c r="N14" s="243"/>
      <c r="P14" s="239" t="s">
        <v>88</v>
      </c>
      <c r="Q14" s="240"/>
    </row>
    <row r="15" spans="1:22" ht="43.5" customHeight="1" x14ac:dyDescent="0.45">
      <c r="B15" s="35" t="s">
        <v>89</v>
      </c>
      <c r="C15" s="37" t="s">
        <v>90</v>
      </c>
      <c r="D15" s="64"/>
      <c r="E15" s="244" t="s">
        <v>91</v>
      </c>
      <c r="F15" s="37" t="s">
        <v>92</v>
      </c>
      <c r="G15" s="48"/>
      <c r="H15" s="250" t="s">
        <v>93</v>
      </c>
      <c r="I15" s="36" t="s">
        <v>94</v>
      </c>
      <c r="J15" s="246" t="s">
        <v>95</v>
      </c>
      <c r="K15" s="246" t="s">
        <v>96</v>
      </c>
      <c r="L15" s="246" t="s">
        <v>97</v>
      </c>
      <c r="M15" s="246" t="s">
        <v>98</v>
      </c>
      <c r="N15" s="248" t="s">
        <v>99</v>
      </c>
      <c r="O15" s="5"/>
      <c r="P15" s="142" t="s">
        <v>100</v>
      </c>
      <c r="Q15" s="241" t="s">
        <v>101</v>
      </c>
      <c r="R15" s="5"/>
      <c r="S15" s="5"/>
    </row>
    <row r="16" spans="1:22" ht="15.75" customHeight="1" x14ac:dyDescent="0.45">
      <c r="B16" s="50"/>
      <c r="C16" s="56"/>
      <c r="D16" s="65"/>
      <c r="E16" s="245"/>
      <c r="F16" s="56">
        <f>+'Ex.1 Assumptions'!D11/12</f>
        <v>5.0000000000000001E-3</v>
      </c>
      <c r="G16" s="55"/>
      <c r="H16" s="251"/>
      <c r="I16" s="6">
        <f>+'Ex.1 Assumptions'!D11/12</f>
        <v>5.0000000000000001E-3</v>
      </c>
      <c r="J16" s="247"/>
      <c r="K16" s="247"/>
      <c r="L16" s="247"/>
      <c r="M16" s="247"/>
      <c r="N16" s="249"/>
      <c r="O16" s="5"/>
      <c r="P16" s="143">
        <f>'Ex.1 Term &amp; Cost Classification'!C1</f>
        <v>33</v>
      </c>
      <c r="Q16" s="241"/>
      <c r="R16" s="5"/>
      <c r="S16" s="5"/>
    </row>
    <row r="17" spans="2:19" x14ac:dyDescent="0.45">
      <c r="B17" s="51"/>
      <c r="C17" s="58"/>
      <c r="D17" s="66"/>
      <c r="E17" s="51"/>
      <c r="F17" s="30"/>
      <c r="G17" s="2"/>
      <c r="H17" s="51"/>
      <c r="I17" s="29"/>
      <c r="J17" s="29"/>
      <c r="K17" s="29"/>
      <c r="L17" s="29"/>
      <c r="M17" s="29">
        <f>+J4</f>
        <v>61270</v>
      </c>
      <c r="N17" s="81"/>
      <c r="O17" s="7"/>
      <c r="P17" s="9"/>
      <c r="Q17" s="81">
        <f>+J9</f>
        <v>111210</v>
      </c>
    </row>
    <row r="18" spans="2:19" x14ac:dyDescent="0.45">
      <c r="B18" s="52"/>
      <c r="C18" s="59" t="str">
        <f>+'Ex.1 Term &amp; Cost Classification'!A8</f>
        <v>1/1/X1</v>
      </c>
      <c r="D18" s="66"/>
      <c r="E18" s="52"/>
      <c r="F18" s="45"/>
      <c r="G18" s="2"/>
      <c r="H18" s="52"/>
      <c r="I18" s="39"/>
      <c r="J18" s="44"/>
      <c r="K18" s="44"/>
      <c r="L18" s="44"/>
      <c r="M18" s="44"/>
      <c r="N18" s="82"/>
      <c r="O18" s="7"/>
      <c r="P18" s="52">
        <v>0</v>
      </c>
      <c r="Q18" s="84"/>
    </row>
    <row r="19" spans="2:19" x14ac:dyDescent="0.45">
      <c r="B19" s="52"/>
      <c r="C19" s="60" t="s">
        <v>102</v>
      </c>
      <c r="D19" s="62"/>
      <c r="E19" s="52"/>
      <c r="F19" s="45"/>
      <c r="G19" s="2"/>
      <c r="H19" s="52"/>
      <c r="I19" s="39"/>
      <c r="J19" s="44"/>
      <c r="K19" s="44"/>
      <c r="L19" s="44"/>
      <c r="M19" s="44"/>
      <c r="N19" s="82"/>
      <c r="O19" s="7"/>
      <c r="P19" s="52">
        <v>0</v>
      </c>
      <c r="Q19" s="84"/>
      <c r="S19" s="107"/>
    </row>
    <row r="20" spans="2:19" ht="14.65" thickBot="1" x14ac:dyDescent="0.5">
      <c r="B20" s="76"/>
      <c r="C20" s="77" t="s">
        <v>29</v>
      </c>
      <c r="D20" s="66"/>
      <c r="E20" s="76"/>
      <c r="F20" s="78"/>
      <c r="G20" s="2"/>
      <c r="H20" s="76"/>
      <c r="I20" s="79"/>
      <c r="J20" s="80"/>
      <c r="K20" s="80"/>
      <c r="L20" s="80"/>
      <c r="M20" s="80"/>
      <c r="N20" s="83"/>
      <c r="O20" s="7"/>
      <c r="P20" s="76">
        <v>0</v>
      </c>
      <c r="Q20" s="85"/>
      <c r="R20" s="33"/>
      <c r="S20" s="33"/>
    </row>
    <row r="21" spans="2:19" x14ac:dyDescent="0.45">
      <c r="B21" s="52">
        <v>1</v>
      </c>
      <c r="C21" s="59" t="s">
        <v>34</v>
      </c>
      <c r="D21" s="66"/>
      <c r="E21" s="52"/>
      <c r="F21" s="45"/>
      <c r="G21" s="2"/>
      <c r="H21" s="52"/>
      <c r="I21" s="39"/>
      <c r="J21" s="44"/>
      <c r="K21" s="44"/>
      <c r="L21" s="44"/>
      <c r="M21" s="44">
        <f>+J4</f>
        <v>61270</v>
      </c>
      <c r="N21" s="82">
        <f>+M21+J21</f>
        <v>61270</v>
      </c>
      <c r="O21" s="7"/>
      <c r="P21" s="52">
        <f>ROUND($Q$17/$P$16,0)</f>
        <v>3370</v>
      </c>
      <c r="Q21" s="82">
        <f>+Q17-P21</f>
        <v>107840</v>
      </c>
      <c r="S21" s="33"/>
    </row>
    <row r="22" spans="2:19" x14ac:dyDescent="0.45">
      <c r="B22" s="52">
        <v>2</v>
      </c>
      <c r="C22" s="60" t="s">
        <v>103</v>
      </c>
      <c r="D22" s="62"/>
      <c r="E22" s="52">
        <v>0</v>
      </c>
      <c r="F22" s="45"/>
      <c r="G22" s="2"/>
      <c r="H22" s="52"/>
      <c r="I22" s="39">
        <f t="shared" ref="I22:I42" si="0">+N21*I$16</f>
        <v>306.35000000000002</v>
      </c>
      <c r="J22" s="44">
        <f>+I22</f>
        <v>306.35000000000002</v>
      </c>
      <c r="K22" s="44"/>
      <c r="L22" s="44"/>
      <c r="M22" s="44">
        <f>+M21-L22</f>
        <v>61270</v>
      </c>
      <c r="N22" s="82">
        <f t="shared" ref="N22:N29" si="1">+M22+J22</f>
        <v>61576.35</v>
      </c>
      <c r="O22" s="7"/>
      <c r="P22" s="52">
        <f>ROUND($Q$17/$P$16,0)</f>
        <v>3370</v>
      </c>
      <c r="Q22" s="84">
        <f>+Q21-P22</f>
        <v>104470</v>
      </c>
    </row>
    <row r="23" spans="2:19" x14ac:dyDescent="0.45">
      <c r="B23" s="52">
        <v>3</v>
      </c>
      <c r="C23" s="60" t="s">
        <v>104</v>
      </c>
      <c r="D23" s="62"/>
      <c r="E23" s="52">
        <v>0</v>
      </c>
      <c r="F23" s="45"/>
      <c r="G23" s="2"/>
      <c r="H23" s="52"/>
      <c r="I23" s="39">
        <f t="shared" si="0"/>
        <v>307.88175000000001</v>
      </c>
      <c r="J23" s="44">
        <f>+J22+I23</f>
        <v>614.23175000000003</v>
      </c>
      <c r="K23" s="44"/>
      <c r="L23" s="44"/>
      <c r="M23" s="44">
        <f t="shared" ref="M23:M29" si="2">+M22-L23</f>
        <v>61270</v>
      </c>
      <c r="N23" s="82">
        <f t="shared" si="1"/>
        <v>61884.231749999999</v>
      </c>
      <c r="O23" s="7"/>
      <c r="P23" s="52">
        <f t="shared" ref="P23:P53" si="3">ROUND($Q$17/$P$16,0)</f>
        <v>3370</v>
      </c>
      <c r="Q23" s="84">
        <f t="shared" ref="Q23:Q53" si="4">+Q22-P23</f>
        <v>101100</v>
      </c>
    </row>
    <row r="24" spans="2:19" x14ac:dyDescent="0.45">
      <c r="B24" s="52">
        <v>4</v>
      </c>
      <c r="C24" s="60" t="s">
        <v>105</v>
      </c>
      <c r="D24" s="62"/>
      <c r="E24" s="52">
        <v>0</v>
      </c>
      <c r="F24" s="45"/>
      <c r="G24" s="2"/>
      <c r="H24" s="52"/>
      <c r="I24" s="39">
        <f t="shared" si="0"/>
        <v>309.42115875000002</v>
      </c>
      <c r="J24" s="44">
        <f t="shared" ref="J24:J29" si="5">+J23+I24</f>
        <v>923.65290875000005</v>
      </c>
      <c r="K24" s="44"/>
      <c r="L24" s="44"/>
      <c r="M24" s="44">
        <f t="shared" si="2"/>
        <v>61270</v>
      </c>
      <c r="N24" s="82">
        <f t="shared" si="1"/>
        <v>62193.652908750002</v>
      </c>
      <c r="O24" s="7"/>
      <c r="P24" s="52">
        <f t="shared" si="3"/>
        <v>3370</v>
      </c>
      <c r="Q24" s="84">
        <f t="shared" si="4"/>
        <v>97730</v>
      </c>
    </row>
    <row r="25" spans="2:19" x14ac:dyDescent="0.45">
      <c r="B25" s="52">
        <v>5</v>
      </c>
      <c r="C25" s="60" t="s">
        <v>106</v>
      </c>
      <c r="D25" s="62"/>
      <c r="E25" s="52">
        <v>0</v>
      </c>
      <c r="F25" s="45"/>
      <c r="G25" s="2"/>
      <c r="H25" s="52"/>
      <c r="I25" s="39">
        <f t="shared" si="0"/>
        <v>310.96826454375002</v>
      </c>
      <c r="J25" s="44">
        <f t="shared" si="5"/>
        <v>1234.62117329375</v>
      </c>
      <c r="K25" s="44"/>
      <c r="L25" s="44"/>
      <c r="M25" s="44">
        <f t="shared" si="2"/>
        <v>61270</v>
      </c>
      <c r="N25" s="82">
        <f t="shared" si="1"/>
        <v>62504.621173293752</v>
      </c>
      <c r="O25" s="7"/>
      <c r="P25" s="52">
        <f t="shared" si="3"/>
        <v>3370</v>
      </c>
      <c r="Q25" s="84">
        <f t="shared" si="4"/>
        <v>94360</v>
      </c>
    </row>
    <row r="26" spans="2:19" x14ac:dyDescent="0.45">
      <c r="B26" s="52">
        <v>6</v>
      </c>
      <c r="C26" s="60" t="s">
        <v>107</v>
      </c>
      <c r="D26" s="62"/>
      <c r="E26" s="52">
        <v>0</v>
      </c>
      <c r="F26" s="45"/>
      <c r="G26" s="2"/>
      <c r="H26" s="52"/>
      <c r="I26" s="39">
        <f t="shared" si="0"/>
        <v>312.52310586646877</v>
      </c>
      <c r="J26" s="44">
        <f t="shared" si="5"/>
        <v>1547.1442791602187</v>
      </c>
      <c r="K26" s="44"/>
      <c r="L26" s="44"/>
      <c r="M26" s="44">
        <f t="shared" si="2"/>
        <v>61270</v>
      </c>
      <c r="N26" s="82">
        <f t="shared" si="1"/>
        <v>62817.144279160217</v>
      </c>
      <c r="O26" s="7"/>
      <c r="P26" s="52">
        <f t="shared" si="3"/>
        <v>3370</v>
      </c>
      <c r="Q26" s="84">
        <f t="shared" si="4"/>
        <v>90990</v>
      </c>
    </row>
    <row r="27" spans="2:19" x14ac:dyDescent="0.45">
      <c r="B27" s="52">
        <v>7</v>
      </c>
      <c r="C27" s="60" t="s">
        <v>108</v>
      </c>
      <c r="D27" s="62"/>
      <c r="E27" s="52">
        <v>0</v>
      </c>
      <c r="F27" s="45"/>
      <c r="G27" s="2"/>
      <c r="H27" s="52"/>
      <c r="I27" s="39">
        <f t="shared" si="0"/>
        <v>314.0857213958011</v>
      </c>
      <c r="J27" s="44">
        <f t="shared" si="5"/>
        <v>1861.2300005560198</v>
      </c>
      <c r="K27" s="44"/>
      <c r="L27" s="44"/>
      <c r="M27" s="44">
        <f t="shared" si="2"/>
        <v>61270</v>
      </c>
      <c r="N27" s="82">
        <f t="shared" si="1"/>
        <v>63131.230000556017</v>
      </c>
      <c r="O27" s="7"/>
      <c r="P27" s="52">
        <f t="shared" si="3"/>
        <v>3370</v>
      </c>
      <c r="Q27" s="84">
        <f t="shared" si="4"/>
        <v>87620</v>
      </c>
    </row>
    <row r="28" spans="2:19" x14ac:dyDescent="0.45">
      <c r="B28" s="52">
        <v>8</v>
      </c>
      <c r="C28" s="60" t="s">
        <v>109</v>
      </c>
      <c r="D28" s="62"/>
      <c r="E28" s="52">
        <v>0</v>
      </c>
      <c r="F28" s="45"/>
      <c r="G28" s="2"/>
      <c r="H28" s="52"/>
      <c r="I28" s="39">
        <f t="shared" si="0"/>
        <v>315.65615000278007</v>
      </c>
      <c r="J28" s="44">
        <f t="shared" si="5"/>
        <v>2176.8861505587997</v>
      </c>
      <c r="K28" s="44"/>
      <c r="L28" s="44"/>
      <c r="M28" s="44">
        <f t="shared" si="2"/>
        <v>61270</v>
      </c>
      <c r="N28" s="82">
        <f t="shared" si="1"/>
        <v>63446.886150558799</v>
      </c>
      <c r="O28" s="7"/>
      <c r="P28" s="52">
        <f t="shared" si="3"/>
        <v>3370</v>
      </c>
      <c r="Q28" s="98">
        <f t="shared" si="4"/>
        <v>84250</v>
      </c>
      <c r="R28" s="134" t="s">
        <v>110</v>
      </c>
    </row>
    <row r="29" spans="2:19" x14ac:dyDescent="0.45">
      <c r="B29" s="52">
        <v>9</v>
      </c>
      <c r="C29" s="60" t="s">
        <v>111</v>
      </c>
      <c r="D29" s="62"/>
      <c r="E29" s="52">
        <v>0</v>
      </c>
      <c r="F29" s="45"/>
      <c r="G29" s="2"/>
      <c r="H29" s="52"/>
      <c r="I29" s="39">
        <f t="shared" si="0"/>
        <v>317.23443075279403</v>
      </c>
      <c r="J29" s="44">
        <f t="shared" si="5"/>
        <v>2494.1205813115939</v>
      </c>
      <c r="K29" s="44"/>
      <c r="L29" s="44"/>
      <c r="M29" s="44">
        <f t="shared" si="2"/>
        <v>61270</v>
      </c>
      <c r="N29" s="82">
        <f t="shared" si="1"/>
        <v>63764.120581311596</v>
      </c>
      <c r="O29" s="7"/>
      <c r="P29" s="52">
        <f t="shared" si="3"/>
        <v>3370</v>
      </c>
      <c r="Q29" s="98">
        <f t="shared" si="4"/>
        <v>80880</v>
      </c>
      <c r="R29" s="135">
        <f>SUM(P21:P29)</f>
        <v>30330</v>
      </c>
      <c r="S29" s="33"/>
    </row>
    <row r="30" spans="2:19" x14ac:dyDescent="0.45">
      <c r="B30" s="52">
        <v>10</v>
      </c>
      <c r="C30" s="59" t="s">
        <v>40</v>
      </c>
      <c r="D30" s="66"/>
      <c r="E30" s="52">
        <f>+'Ex.1 Term &amp; Cost Classification'!L18+'Ex.1 Term &amp; Cost Classification'!L19</f>
        <v>33000</v>
      </c>
      <c r="F30" s="45">
        <f>-ROUND((PV(F16,B30-1,0,E30,1)),1)</f>
        <v>31551.5</v>
      </c>
      <c r="G30" s="2"/>
      <c r="H30" s="52">
        <f>+E30</f>
        <v>33000</v>
      </c>
      <c r="I30" s="39">
        <f t="shared" si="0"/>
        <v>318.82060290655801</v>
      </c>
      <c r="J30" s="44"/>
      <c r="K30" s="44">
        <f>+J29+I30</f>
        <v>2812.9411842181521</v>
      </c>
      <c r="L30" s="44">
        <f>+H30-K30</f>
        <v>30187.058815781849</v>
      </c>
      <c r="M30" s="44">
        <f>+M29-L30</f>
        <v>31082.941184218151</v>
      </c>
      <c r="N30" s="82">
        <f>+J30+M30</f>
        <v>31082.941184218151</v>
      </c>
      <c r="O30" s="7"/>
      <c r="P30" s="52">
        <f t="shared" si="3"/>
        <v>3370</v>
      </c>
      <c r="Q30" s="84">
        <f t="shared" si="4"/>
        <v>77510</v>
      </c>
    </row>
    <row r="31" spans="2:19" x14ac:dyDescent="0.45">
      <c r="B31" s="52">
        <v>11</v>
      </c>
      <c r="C31" s="60" t="s">
        <v>112</v>
      </c>
      <c r="D31" s="62"/>
      <c r="E31" s="52">
        <v>0</v>
      </c>
      <c r="F31" s="45"/>
      <c r="G31" s="2"/>
      <c r="H31" s="52"/>
      <c r="I31" s="39">
        <f t="shared" si="0"/>
        <v>155.41470592109076</v>
      </c>
      <c r="J31" s="44">
        <f>+I31</f>
        <v>155.41470592109076</v>
      </c>
      <c r="K31" s="44"/>
      <c r="L31" s="44"/>
      <c r="M31" s="44">
        <f t="shared" ref="M31:M41" si="6">+M30-L31</f>
        <v>31082.941184218151</v>
      </c>
      <c r="N31" s="82">
        <f t="shared" ref="N31:N42" si="7">+J31+M31</f>
        <v>31238.355890139243</v>
      </c>
      <c r="O31" s="7"/>
      <c r="P31" s="52">
        <f t="shared" si="3"/>
        <v>3370</v>
      </c>
      <c r="Q31" s="84">
        <f t="shared" si="4"/>
        <v>74140</v>
      </c>
    </row>
    <row r="32" spans="2:19" x14ac:dyDescent="0.45">
      <c r="B32" s="52">
        <v>12</v>
      </c>
      <c r="C32" s="60" t="s">
        <v>113</v>
      </c>
      <c r="D32" s="62"/>
      <c r="E32" s="52">
        <v>0</v>
      </c>
      <c r="F32" s="45"/>
      <c r="G32" s="2"/>
      <c r="H32" s="52"/>
      <c r="I32" s="39">
        <f t="shared" si="0"/>
        <v>156.1917794506962</v>
      </c>
      <c r="J32" s="44">
        <f>+J31+I32</f>
        <v>311.60648537178696</v>
      </c>
      <c r="K32" s="44"/>
      <c r="L32" s="44"/>
      <c r="M32" s="44">
        <f t="shared" si="6"/>
        <v>31082.941184218151</v>
      </c>
      <c r="N32" s="82">
        <f t="shared" si="7"/>
        <v>31394.547669589938</v>
      </c>
      <c r="O32" s="7"/>
      <c r="P32" s="52">
        <f t="shared" si="3"/>
        <v>3370</v>
      </c>
      <c r="Q32" s="84">
        <f t="shared" si="4"/>
        <v>70770</v>
      </c>
    </row>
    <row r="33" spans="2:18" x14ac:dyDescent="0.45">
      <c r="B33" s="52">
        <v>13</v>
      </c>
      <c r="C33" s="60" t="s">
        <v>114</v>
      </c>
      <c r="D33" s="62"/>
      <c r="E33" s="52">
        <v>0</v>
      </c>
      <c r="F33" s="45"/>
      <c r="G33" s="2"/>
      <c r="H33" s="52"/>
      <c r="I33" s="39">
        <f t="shared" si="0"/>
        <v>156.9727383479497</v>
      </c>
      <c r="J33" s="44">
        <f t="shared" ref="J33:J41" si="8">+J32+I33</f>
        <v>468.57922371973666</v>
      </c>
      <c r="K33" s="44"/>
      <c r="L33" s="44"/>
      <c r="M33" s="44">
        <f t="shared" si="6"/>
        <v>31082.941184218151</v>
      </c>
      <c r="N33" s="82">
        <f t="shared" si="7"/>
        <v>31551.520407937889</v>
      </c>
      <c r="O33" s="7"/>
      <c r="P33" s="52">
        <f t="shared" si="3"/>
        <v>3370</v>
      </c>
      <c r="Q33" s="84">
        <f t="shared" si="4"/>
        <v>67400</v>
      </c>
    </row>
    <row r="34" spans="2:18" x14ac:dyDescent="0.45">
      <c r="B34" s="52">
        <v>14</v>
      </c>
      <c r="C34" s="60" t="s">
        <v>115</v>
      </c>
      <c r="D34" s="62"/>
      <c r="E34" s="52">
        <v>0</v>
      </c>
      <c r="F34" s="45"/>
      <c r="G34" s="2"/>
      <c r="H34" s="52"/>
      <c r="I34" s="39">
        <f t="shared" si="0"/>
        <v>157.75760203968946</v>
      </c>
      <c r="J34" s="44">
        <f t="shared" si="8"/>
        <v>626.33682575942612</v>
      </c>
      <c r="K34" s="44"/>
      <c r="L34" s="44"/>
      <c r="M34" s="44">
        <f t="shared" si="6"/>
        <v>31082.941184218151</v>
      </c>
      <c r="N34" s="82">
        <f t="shared" si="7"/>
        <v>31709.278009977577</v>
      </c>
      <c r="O34" s="7"/>
      <c r="P34" s="52">
        <f t="shared" si="3"/>
        <v>3370</v>
      </c>
      <c r="Q34" s="84">
        <f t="shared" si="4"/>
        <v>64030</v>
      </c>
    </row>
    <row r="35" spans="2:18" x14ac:dyDescent="0.45">
      <c r="B35" s="52">
        <v>15</v>
      </c>
      <c r="C35" s="60" t="s">
        <v>116</v>
      </c>
      <c r="D35" s="62"/>
      <c r="E35" s="52">
        <v>0</v>
      </c>
      <c r="F35" s="45"/>
      <c r="G35" s="2"/>
      <c r="H35" s="52"/>
      <c r="I35" s="39">
        <f t="shared" si="0"/>
        <v>158.54639004988789</v>
      </c>
      <c r="J35" s="44">
        <f t="shared" si="8"/>
        <v>784.88321580931404</v>
      </c>
      <c r="K35" s="44"/>
      <c r="L35" s="44"/>
      <c r="M35" s="44">
        <f t="shared" si="6"/>
        <v>31082.941184218151</v>
      </c>
      <c r="N35" s="82">
        <f t="shared" si="7"/>
        <v>31867.824400027464</v>
      </c>
      <c r="O35" s="7"/>
      <c r="P35" s="52">
        <f t="shared" si="3"/>
        <v>3370</v>
      </c>
      <c r="Q35" s="84">
        <f t="shared" si="4"/>
        <v>60660</v>
      </c>
    </row>
    <row r="36" spans="2:18" x14ac:dyDescent="0.45">
      <c r="B36" s="52">
        <v>16</v>
      </c>
      <c r="C36" s="60" t="s">
        <v>117</v>
      </c>
      <c r="D36" s="62"/>
      <c r="E36" s="52">
        <v>0</v>
      </c>
      <c r="F36" s="45"/>
      <c r="G36" s="2"/>
      <c r="H36" s="52"/>
      <c r="I36" s="39">
        <f t="shared" si="0"/>
        <v>159.33912200013734</v>
      </c>
      <c r="J36" s="44">
        <f t="shared" si="8"/>
        <v>944.22233780945135</v>
      </c>
      <c r="K36" s="44"/>
      <c r="L36" s="44"/>
      <c r="M36" s="44">
        <f t="shared" si="6"/>
        <v>31082.941184218151</v>
      </c>
      <c r="N36" s="82">
        <f t="shared" si="7"/>
        <v>32027.1635220276</v>
      </c>
      <c r="O36" s="7"/>
      <c r="P36" s="52">
        <f t="shared" si="3"/>
        <v>3370</v>
      </c>
      <c r="Q36" s="84">
        <f t="shared" si="4"/>
        <v>57290</v>
      </c>
    </row>
    <row r="37" spans="2:18" x14ac:dyDescent="0.45">
      <c r="B37" s="52">
        <v>17</v>
      </c>
      <c r="C37" s="60" t="s">
        <v>118</v>
      </c>
      <c r="D37" s="62"/>
      <c r="E37" s="52">
        <v>0</v>
      </c>
      <c r="F37" s="45"/>
      <c r="G37" s="2"/>
      <c r="H37" s="52"/>
      <c r="I37" s="39">
        <f t="shared" si="0"/>
        <v>160.13581761013799</v>
      </c>
      <c r="J37" s="44">
        <f t="shared" si="8"/>
        <v>1104.3581554195894</v>
      </c>
      <c r="K37" s="44"/>
      <c r="L37" s="44"/>
      <c r="M37" s="44">
        <f t="shared" si="6"/>
        <v>31082.941184218151</v>
      </c>
      <c r="N37" s="82">
        <f t="shared" si="7"/>
        <v>32187.299339637739</v>
      </c>
      <c r="O37" s="7"/>
      <c r="P37" s="52">
        <f t="shared" si="3"/>
        <v>3370</v>
      </c>
      <c r="Q37" s="84">
        <f t="shared" si="4"/>
        <v>53920</v>
      </c>
    </row>
    <row r="38" spans="2:18" x14ac:dyDescent="0.45">
      <c r="B38" s="52">
        <v>18</v>
      </c>
      <c r="C38" s="60" t="s">
        <v>119</v>
      </c>
      <c r="D38" s="62"/>
      <c r="E38" s="52">
        <v>0</v>
      </c>
      <c r="F38" s="45"/>
      <c r="G38" s="2"/>
      <c r="H38" s="52"/>
      <c r="I38" s="39">
        <f t="shared" si="0"/>
        <v>160.93649669818871</v>
      </c>
      <c r="J38" s="44">
        <f t="shared" si="8"/>
        <v>1265.294652117778</v>
      </c>
      <c r="K38" s="44"/>
      <c r="L38" s="44"/>
      <c r="M38" s="44">
        <f t="shared" si="6"/>
        <v>31082.941184218151</v>
      </c>
      <c r="N38" s="82">
        <f t="shared" si="7"/>
        <v>32348.235836335927</v>
      </c>
      <c r="O38" s="7"/>
      <c r="P38" s="52">
        <f t="shared" si="3"/>
        <v>3370</v>
      </c>
      <c r="Q38" s="84">
        <f t="shared" si="4"/>
        <v>50550</v>
      </c>
    </row>
    <row r="39" spans="2:18" x14ac:dyDescent="0.45">
      <c r="B39" s="52">
        <v>19</v>
      </c>
      <c r="C39" s="60" t="s">
        <v>120</v>
      </c>
      <c r="D39" s="62"/>
      <c r="E39" s="52">
        <v>0</v>
      </c>
      <c r="F39" s="45"/>
      <c r="G39" s="2"/>
      <c r="H39" s="52"/>
      <c r="I39" s="39">
        <f t="shared" si="0"/>
        <v>161.74117918167963</v>
      </c>
      <c r="J39" s="44">
        <f t="shared" si="8"/>
        <v>1427.0358312994576</v>
      </c>
      <c r="K39" s="44"/>
      <c r="L39" s="44"/>
      <c r="M39" s="44">
        <f t="shared" si="6"/>
        <v>31082.941184218151</v>
      </c>
      <c r="N39" s="82">
        <f t="shared" si="7"/>
        <v>32509.977015517608</v>
      </c>
      <c r="O39" s="7"/>
      <c r="P39" s="52">
        <f t="shared" si="3"/>
        <v>3370</v>
      </c>
      <c r="Q39" s="84">
        <f t="shared" si="4"/>
        <v>47180</v>
      </c>
    </row>
    <row r="40" spans="2:18" x14ac:dyDescent="0.45">
      <c r="B40" s="52">
        <v>20</v>
      </c>
      <c r="C40" s="60" t="s">
        <v>121</v>
      </c>
      <c r="D40" s="62"/>
      <c r="E40" s="52">
        <v>0</v>
      </c>
      <c r="F40" s="45"/>
      <c r="G40" s="2"/>
      <c r="H40" s="52"/>
      <c r="I40" s="39">
        <f t="shared" si="0"/>
        <v>162.54988507758804</v>
      </c>
      <c r="J40" s="44">
        <f t="shared" si="8"/>
        <v>1589.5857163770456</v>
      </c>
      <c r="K40" s="44"/>
      <c r="L40" s="44"/>
      <c r="M40" s="44">
        <f t="shared" si="6"/>
        <v>31082.941184218151</v>
      </c>
      <c r="N40" s="82">
        <f t="shared" si="7"/>
        <v>32672.526900595196</v>
      </c>
      <c r="O40" s="7"/>
      <c r="P40" s="52">
        <f t="shared" si="3"/>
        <v>3370</v>
      </c>
      <c r="Q40" s="105">
        <f t="shared" si="4"/>
        <v>43810</v>
      </c>
      <c r="R40" s="134" t="s">
        <v>122</v>
      </c>
    </row>
    <row r="41" spans="2:18" x14ac:dyDescent="0.45">
      <c r="B41" s="52">
        <v>21</v>
      </c>
      <c r="C41" s="60" t="s">
        <v>123</v>
      </c>
      <c r="D41" s="62"/>
      <c r="E41" s="52">
        <v>0</v>
      </c>
      <c r="F41" s="45"/>
      <c r="G41" s="2"/>
      <c r="H41" s="52"/>
      <c r="I41" s="39">
        <f t="shared" si="0"/>
        <v>163.36263450297599</v>
      </c>
      <c r="J41" s="44">
        <f t="shared" si="8"/>
        <v>1752.9483508800217</v>
      </c>
      <c r="K41" s="44"/>
      <c r="L41" s="44"/>
      <c r="M41" s="44">
        <f t="shared" si="6"/>
        <v>31082.941184218151</v>
      </c>
      <c r="N41" s="82">
        <f t="shared" si="7"/>
        <v>32835.889535098169</v>
      </c>
      <c r="O41" s="7"/>
      <c r="P41" s="52">
        <f t="shared" si="3"/>
        <v>3370</v>
      </c>
      <c r="Q41" s="98">
        <f t="shared" si="4"/>
        <v>40440</v>
      </c>
      <c r="R41" s="135">
        <f>SUM(P30:P41)</f>
        <v>40440</v>
      </c>
    </row>
    <row r="42" spans="2:18" x14ac:dyDescent="0.45">
      <c r="B42" s="52">
        <v>22</v>
      </c>
      <c r="C42" s="59" t="s">
        <v>45</v>
      </c>
      <c r="D42" s="66"/>
      <c r="E42" s="52">
        <f>+'Ex.1 Term &amp; Cost Classification'!L22+'Ex.1 Term &amp; Cost Classification'!L23</f>
        <v>33000</v>
      </c>
      <c r="F42" s="45">
        <f>-ROUND((PV(F16,B42-1,0,E42,1)),1)</f>
        <v>29718.5</v>
      </c>
      <c r="G42" s="2"/>
      <c r="H42" s="52">
        <f>+E42</f>
        <v>33000</v>
      </c>
      <c r="I42" s="39">
        <f t="shared" si="0"/>
        <v>164.17944767549085</v>
      </c>
      <c r="J42" s="44"/>
      <c r="K42" s="44">
        <f>+J41+I42</f>
        <v>1917.1277985555125</v>
      </c>
      <c r="L42" s="44">
        <f>+H42-K42</f>
        <v>31082.872201444487</v>
      </c>
      <c r="M42" s="44">
        <f>ROUND(+M41-L42,0)</f>
        <v>0</v>
      </c>
      <c r="N42" s="82">
        <f t="shared" si="7"/>
        <v>0</v>
      </c>
      <c r="O42" s="7"/>
      <c r="P42" s="52">
        <f t="shared" si="3"/>
        <v>3370</v>
      </c>
      <c r="Q42" s="84">
        <f t="shared" si="4"/>
        <v>37070</v>
      </c>
    </row>
    <row r="43" spans="2:18" x14ac:dyDescent="0.45">
      <c r="B43" s="52">
        <v>23</v>
      </c>
      <c r="C43" s="60" t="s">
        <v>124</v>
      </c>
      <c r="D43" s="62"/>
      <c r="E43" s="52">
        <v>0</v>
      </c>
      <c r="F43" s="45"/>
      <c r="G43" s="2"/>
      <c r="H43" s="52"/>
      <c r="I43" s="39"/>
      <c r="J43" s="44"/>
      <c r="K43" s="44"/>
      <c r="L43" s="44"/>
      <c r="M43" s="44"/>
      <c r="N43" s="82"/>
      <c r="O43" s="7"/>
      <c r="P43" s="52">
        <f t="shared" si="3"/>
        <v>3370</v>
      </c>
      <c r="Q43" s="84">
        <f t="shared" si="4"/>
        <v>33700</v>
      </c>
    </row>
    <row r="44" spans="2:18" x14ac:dyDescent="0.45">
      <c r="B44" s="52">
        <v>24</v>
      </c>
      <c r="C44" s="60" t="s">
        <v>125</v>
      </c>
      <c r="D44" s="62"/>
      <c r="E44" s="52">
        <v>0</v>
      </c>
      <c r="F44" s="45"/>
      <c r="G44" s="2"/>
      <c r="H44" s="52"/>
      <c r="I44" s="39"/>
      <c r="J44" s="44"/>
      <c r="K44" s="44"/>
      <c r="L44" s="44"/>
      <c r="M44" s="44"/>
      <c r="N44" s="82"/>
      <c r="O44" s="7"/>
      <c r="P44" s="52">
        <f t="shared" si="3"/>
        <v>3370</v>
      </c>
      <c r="Q44" s="84">
        <f t="shared" si="4"/>
        <v>30330</v>
      </c>
    </row>
    <row r="45" spans="2:18" x14ac:dyDescent="0.45">
      <c r="B45" s="52">
        <v>25</v>
      </c>
      <c r="C45" s="60" t="s">
        <v>126</v>
      </c>
      <c r="D45" s="62"/>
      <c r="E45" s="52">
        <v>0</v>
      </c>
      <c r="F45" s="45"/>
      <c r="G45" s="2"/>
      <c r="H45" s="52"/>
      <c r="I45" s="39"/>
      <c r="J45" s="44"/>
      <c r="K45" s="44"/>
      <c r="L45" s="44"/>
      <c r="M45" s="44"/>
      <c r="N45" s="82"/>
      <c r="O45" s="7"/>
      <c r="P45" s="52">
        <f t="shared" si="3"/>
        <v>3370</v>
      </c>
      <c r="Q45" s="84">
        <f t="shared" si="4"/>
        <v>26960</v>
      </c>
    </row>
    <row r="46" spans="2:18" x14ac:dyDescent="0.45">
      <c r="B46" s="52">
        <v>26</v>
      </c>
      <c r="C46" s="60" t="s">
        <v>127</v>
      </c>
      <c r="D46" s="62"/>
      <c r="E46" s="52">
        <v>0</v>
      </c>
      <c r="F46" s="45"/>
      <c r="G46" s="2"/>
      <c r="H46" s="52"/>
      <c r="I46" s="39"/>
      <c r="J46" s="44"/>
      <c r="K46" s="44"/>
      <c r="L46" s="44"/>
      <c r="M46" s="44"/>
      <c r="N46" s="82"/>
      <c r="O46" s="7"/>
      <c r="P46" s="52">
        <f t="shared" si="3"/>
        <v>3370</v>
      </c>
      <c r="Q46" s="84">
        <f t="shared" si="4"/>
        <v>23590</v>
      </c>
    </row>
    <row r="47" spans="2:18" x14ac:dyDescent="0.45">
      <c r="B47" s="52">
        <v>27</v>
      </c>
      <c r="C47" s="60" t="s">
        <v>128</v>
      </c>
      <c r="D47" s="62"/>
      <c r="E47" s="52">
        <v>0</v>
      </c>
      <c r="F47" s="45"/>
      <c r="G47" s="2"/>
      <c r="H47" s="52"/>
      <c r="I47" s="39"/>
      <c r="J47" s="44"/>
      <c r="K47" s="44"/>
      <c r="L47" s="44"/>
      <c r="M47" s="44"/>
      <c r="N47" s="82"/>
      <c r="O47" s="7"/>
      <c r="P47" s="52">
        <f t="shared" si="3"/>
        <v>3370</v>
      </c>
      <c r="Q47" s="84">
        <f t="shared" si="4"/>
        <v>20220</v>
      </c>
    </row>
    <row r="48" spans="2:18" x14ac:dyDescent="0.45">
      <c r="B48" s="52">
        <v>28</v>
      </c>
      <c r="C48" s="60" t="s">
        <v>129</v>
      </c>
      <c r="D48" s="62"/>
      <c r="E48" s="52">
        <v>0</v>
      </c>
      <c r="F48" s="45"/>
      <c r="G48" s="2"/>
      <c r="H48" s="52"/>
      <c r="I48" s="39"/>
      <c r="J48" s="44"/>
      <c r="K48" s="44"/>
      <c r="L48" s="44"/>
      <c r="M48" s="44"/>
      <c r="N48" s="82"/>
      <c r="O48" s="7"/>
      <c r="P48" s="52">
        <f t="shared" si="3"/>
        <v>3370</v>
      </c>
      <c r="Q48" s="84">
        <f t="shared" si="4"/>
        <v>16850</v>
      </c>
    </row>
    <row r="49" spans="2:18" x14ac:dyDescent="0.45">
      <c r="B49" s="52">
        <v>29</v>
      </c>
      <c r="C49" s="60" t="s">
        <v>130</v>
      </c>
      <c r="D49" s="62"/>
      <c r="E49" s="52">
        <v>0</v>
      </c>
      <c r="F49" s="45"/>
      <c r="G49" s="2"/>
      <c r="H49" s="52"/>
      <c r="I49" s="39"/>
      <c r="J49" s="44"/>
      <c r="K49" s="44"/>
      <c r="L49" s="44"/>
      <c r="M49" s="44"/>
      <c r="N49" s="82"/>
      <c r="O49" s="7"/>
      <c r="P49" s="52">
        <f t="shared" si="3"/>
        <v>3370</v>
      </c>
      <c r="Q49" s="84">
        <f t="shared" si="4"/>
        <v>13480</v>
      </c>
    </row>
    <row r="50" spans="2:18" x14ac:dyDescent="0.45">
      <c r="B50" s="52">
        <v>30</v>
      </c>
      <c r="C50" s="60" t="s">
        <v>131</v>
      </c>
      <c r="D50" s="62"/>
      <c r="E50" s="52">
        <v>0</v>
      </c>
      <c r="F50" s="45"/>
      <c r="G50" s="2"/>
      <c r="H50" s="52"/>
      <c r="I50" s="39"/>
      <c r="J50" s="44"/>
      <c r="K50" s="44"/>
      <c r="L50" s="44"/>
      <c r="M50" s="44"/>
      <c r="N50" s="82"/>
      <c r="O50" s="7"/>
      <c r="P50" s="52">
        <f t="shared" si="3"/>
        <v>3370</v>
      </c>
      <c r="Q50" s="84">
        <f t="shared" si="4"/>
        <v>10110</v>
      </c>
    </row>
    <row r="51" spans="2:18" x14ac:dyDescent="0.45">
      <c r="B51" s="52">
        <v>31</v>
      </c>
      <c r="C51" s="60" t="s">
        <v>132</v>
      </c>
      <c r="D51" s="62"/>
      <c r="E51" s="52">
        <v>0</v>
      </c>
      <c r="F51" s="45"/>
      <c r="G51" s="2"/>
      <c r="H51" s="52"/>
      <c r="I51" s="39"/>
      <c r="J51" s="44"/>
      <c r="K51" s="44"/>
      <c r="L51" s="44"/>
      <c r="M51" s="44"/>
      <c r="N51" s="82"/>
      <c r="O51" s="7"/>
      <c r="P51" s="52">
        <f t="shared" si="3"/>
        <v>3370</v>
      </c>
      <c r="Q51" s="84">
        <f t="shared" si="4"/>
        <v>6740</v>
      </c>
    </row>
    <row r="52" spans="2:18" x14ac:dyDescent="0.45">
      <c r="B52" s="52">
        <v>32</v>
      </c>
      <c r="C52" s="60" t="s">
        <v>133</v>
      </c>
      <c r="D52" s="62"/>
      <c r="E52" s="52">
        <v>0</v>
      </c>
      <c r="F52" s="45"/>
      <c r="G52" s="2"/>
      <c r="H52" s="52"/>
      <c r="I52" s="39"/>
      <c r="J52" s="44"/>
      <c r="K52" s="44"/>
      <c r="L52" s="44"/>
      <c r="M52" s="44"/>
      <c r="N52" s="82"/>
      <c r="O52" s="7"/>
      <c r="P52" s="52">
        <f t="shared" si="3"/>
        <v>3370</v>
      </c>
      <c r="Q52" s="105">
        <f t="shared" si="4"/>
        <v>3370</v>
      </c>
      <c r="R52" s="134" t="s">
        <v>134</v>
      </c>
    </row>
    <row r="53" spans="2:18" x14ac:dyDescent="0.45">
      <c r="B53" s="52">
        <v>33</v>
      </c>
      <c r="C53" s="60" t="s">
        <v>135</v>
      </c>
      <c r="D53" s="62"/>
      <c r="E53" s="67">
        <v>0</v>
      </c>
      <c r="F53" s="68"/>
      <c r="G53" s="2"/>
      <c r="H53" s="52"/>
      <c r="I53" s="39"/>
      <c r="J53" s="44"/>
      <c r="K53" s="44"/>
      <c r="L53" s="44"/>
      <c r="M53" s="44"/>
      <c r="N53" s="82"/>
      <c r="O53" s="7"/>
      <c r="P53" s="67">
        <f t="shared" si="3"/>
        <v>3370</v>
      </c>
      <c r="Q53" s="105">
        <f t="shared" si="4"/>
        <v>0</v>
      </c>
      <c r="R53" s="135">
        <f>SUM(P42:P53)</f>
        <v>40440</v>
      </c>
    </row>
    <row r="54" spans="2:18" ht="14.65" thickBot="1" x14ac:dyDescent="0.5">
      <c r="B54" s="53"/>
      <c r="C54" s="61"/>
      <c r="D54" s="62"/>
      <c r="E54" s="69">
        <f>SUM(E18:E53)</f>
        <v>66000</v>
      </c>
      <c r="F54" s="57">
        <f>ROUND(SUM(F18:F53),0)</f>
        <v>61270</v>
      </c>
      <c r="G54" s="2"/>
      <c r="H54" s="70">
        <f>SUM(H18:H53)</f>
        <v>66000</v>
      </c>
      <c r="I54" s="71">
        <f>SUM(I18:I53)</f>
        <v>4730.068982773666</v>
      </c>
      <c r="J54" s="71"/>
      <c r="K54" s="71">
        <f>SUM(K18:K53)</f>
        <v>4730.0689827736642</v>
      </c>
      <c r="L54" s="71">
        <f>SUM(L18:L53)</f>
        <v>61269.931017226336</v>
      </c>
      <c r="M54" s="71"/>
      <c r="N54" s="57"/>
      <c r="P54" s="75">
        <f>SUM(P18:P53)</f>
        <v>111210</v>
      </c>
      <c r="Q54" s="86"/>
      <c r="R54" s="33"/>
    </row>
    <row r="55" spans="2:18" x14ac:dyDescent="0.45">
      <c r="C55" s="49"/>
      <c r="D55" s="49"/>
      <c r="E55" s="2"/>
      <c r="F55" s="96">
        <f>+J4-F54</f>
        <v>0</v>
      </c>
      <c r="G55" s="2"/>
      <c r="H55" s="2"/>
      <c r="I55" s="54"/>
      <c r="J55" s="54"/>
      <c r="K55" s="54">
        <f>ROUND(+E54-F54-K54,0)</f>
        <v>0</v>
      </c>
      <c r="L55" s="54">
        <f>ROUND(+L54-F54,0)</f>
        <v>0</v>
      </c>
      <c r="M55" s="54"/>
      <c r="N55" s="2"/>
      <c r="P55" s="8"/>
      <c r="Q55" s="2"/>
      <c r="R55" s="33"/>
    </row>
    <row r="58" spans="2:18" x14ac:dyDescent="0.45">
      <c r="F58" s="104"/>
    </row>
  </sheetData>
  <mergeCells count="14">
    <mergeCell ref="A3:C3"/>
    <mergeCell ref="A8:C8"/>
    <mergeCell ref="P14:Q14"/>
    <mergeCell ref="Q15:Q16"/>
    <mergeCell ref="E14:F14"/>
    <mergeCell ref="E15:E16"/>
    <mergeCell ref="M15:M16"/>
    <mergeCell ref="N15:N16"/>
    <mergeCell ref="H15:H16"/>
    <mergeCell ref="J15:J16"/>
    <mergeCell ref="K15:K16"/>
    <mergeCell ref="L15:L16"/>
    <mergeCell ref="H14:N14"/>
    <mergeCell ref="J3:Q3"/>
  </mergeCells>
  <pageMargins left="0.25" right="0.25" top="0.75" bottom="0.75" header="0.3" footer="0.3"/>
  <pageSetup paperSize="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16"/>
  <sheetViews>
    <sheetView workbookViewId="0">
      <selection sqref="A1:P1"/>
    </sheetView>
  </sheetViews>
  <sheetFormatPr defaultColWidth="9" defaultRowHeight="15.75" x14ac:dyDescent="0.5"/>
  <cols>
    <col min="1" max="1" width="12.265625" style="1" customWidth="1"/>
    <col min="2" max="2" width="6.59765625" style="1" customWidth="1"/>
    <col min="3" max="3" width="49.59765625" style="1" customWidth="1"/>
    <col min="4" max="4" width="2.265625" style="1" customWidth="1"/>
    <col min="5" max="6" width="9.265625" style="1" customWidth="1"/>
    <col min="7" max="7" width="2" style="1" customWidth="1"/>
    <col min="8" max="8" width="5.59765625" style="1" customWidth="1"/>
    <col min="9" max="9" width="36.265625" style="1" customWidth="1"/>
    <col min="10" max="11" width="10.265625" style="1" customWidth="1"/>
    <col min="12" max="12" width="2" style="1" customWidth="1"/>
    <col min="13" max="13" width="5.59765625" style="1" customWidth="1"/>
    <col min="14" max="14" width="56.1328125" style="1" customWidth="1"/>
    <col min="15" max="16" width="10.265625" style="1" bestFit="1" customWidth="1"/>
    <col min="17" max="16384" width="9" style="1"/>
  </cols>
  <sheetData>
    <row r="1" spans="1:16" x14ac:dyDescent="0.5">
      <c r="A1" s="256" t="s">
        <v>136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</row>
    <row r="2" spans="1:16" x14ac:dyDescent="0.5">
      <c r="A2" s="10" t="s">
        <v>137</v>
      </c>
      <c r="E2" s="207"/>
      <c r="F2" s="11"/>
      <c r="H2" s="12"/>
      <c r="J2" s="11"/>
      <c r="K2" s="11"/>
      <c r="O2" s="11"/>
      <c r="P2" s="11"/>
    </row>
    <row r="3" spans="1:16" x14ac:dyDescent="0.5">
      <c r="E3" s="13"/>
      <c r="F3" s="13"/>
      <c r="J3" s="13"/>
      <c r="K3" s="13"/>
      <c r="O3" s="13"/>
      <c r="P3" s="13"/>
    </row>
    <row r="4" spans="1:16" x14ac:dyDescent="0.5">
      <c r="A4" s="14"/>
      <c r="B4" s="258" t="s">
        <v>138</v>
      </c>
      <c r="C4" s="259"/>
      <c r="D4" s="259"/>
      <c r="E4" s="259"/>
      <c r="F4" s="260"/>
      <c r="H4" s="258" t="s">
        <v>139</v>
      </c>
      <c r="I4" s="259"/>
      <c r="J4" s="259"/>
      <c r="K4" s="260"/>
      <c r="M4" s="258" t="s">
        <v>140</v>
      </c>
      <c r="N4" s="259"/>
      <c r="O4" s="259"/>
      <c r="P4" s="260"/>
    </row>
    <row r="5" spans="1:16" x14ac:dyDescent="0.5">
      <c r="A5" s="14"/>
      <c r="B5" s="15"/>
      <c r="C5" s="15"/>
      <c r="D5" s="15"/>
      <c r="E5" s="16" t="s">
        <v>141</v>
      </c>
      <c r="F5" s="16" t="s">
        <v>142</v>
      </c>
      <c r="H5" s="15"/>
      <c r="I5" s="15"/>
      <c r="J5" s="16" t="s">
        <v>141</v>
      </c>
      <c r="K5" s="16" t="s">
        <v>142</v>
      </c>
      <c r="M5" s="15"/>
      <c r="N5" s="15"/>
      <c r="O5" s="16" t="s">
        <v>141</v>
      </c>
      <c r="P5" s="16" t="s">
        <v>142</v>
      </c>
    </row>
    <row r="6" spans="1:16" x14ac:dyDescent="0.5">
      <c r="A6" s="17" t="s">
        <v>143</v>
      </c>
      <c r="B6" s="10"/>
      <c r="C6" s="10"/>
      <c r="D6" s="10"/>
      <c r="E6" s="18"/>
      <c r="F6" s="18"/>
      <c r="H6" s="10"/>
      <c r="I6" s="10"/>
      <c r="J6" s="18"/>
      <c r="K6" s="18"/>
      <c r="M6" s="10"/>
      <c r="N6" s="10"/>
      <c r="O6" s="18"/>
      <c r="P6" s="18"/>
    </row>
    <row r="7" spans="1:16" x14ac:dyDescent="0.5">
      <c r="A7" s="88" t="s">
        <v>144</v>
      </c>
      <c r="B7" s="1" t="s">
        <v>145</v>
      </c>
      <c r="E7" s="18">
        <f>+'Ex.1 Term &amp; Cost Classification'!E6</f>
        <v>6000</v>
      </c>
      <c r="F7" s="18"/>
      <c r="I7" s="1" t="s">
        <v>146</v>
      </c>
      <c r="J7" s="18"/>
      <c r="K7" s="18"/>
      <c r="M7" s="1" t="str">
        <f>+B7</f>
        <v>Current expenditure/expense - consultants</v>
      </c>
      <c r="O7" s="18">
        <f>+E7</f>
        <v>6000</v>
      </c>
      <c r="P7" s="18"/>
    </row>
    <row r="8" spans="1:16" x14ac:dyDescent="0.5">
      <c r="A8" s="88" t="s">
        <v>147</v>
      </c>
      <c r="B8" s="19" t="s">
        <v>148</v>
      </c>
      <c r="E8" s="18">
        <f>+'Ex.1 Term &amp; Cost Classification'!E7</f>
        <v>3000</v>
      </c>
      <c r="F8" s="18"/>
      <c r="J8" s="18"/>
      <c r="K8" s="18"/>
      <c r="M8" s="1" t="str">
        <f>+B8</f>
        <v>Salaries and benefits expenditures/expense</v>
      </c>
      <c r="O8" s="18">
        <f>+E8</f>
        <v>3000</v>
      </c>
      <c r="P8" s="18"/>
    </row>
    <row r="9" spans="1:16" x14ac:dyDescent="0.5">
      <c r="C9" s="1" t="s">
        <v>149</v>
      </c>
      <c r="E9" s="18"/>
      <c r="F9" s="18">
        <f>+'Ex.1 Term &amp; Cost Classification'!C6+'Ex.1 Term &amp; Cost Classification'!C7</f>
        <v>9000</v>
      </c>
      <c r="J9" s="18"/>
      <c r="K9" s="18"/>
      <c r="N9" s="1" t="str">
        <f>+C9</f>
        <v>Cash</v>
      </c>
      <c r="O9" s="18"/>
      <c r="P9" s="18">
        <f>+F9</f>
        <v>9000</v>
      </c>
    </row>
    <row r="10" spans="1:16" s="25" customFormat="1" x14ac:dyDescent="0.5">
      <c r="A10" s="90"/>
      <c r="B10" s="25" t="s">
        <v>150</v>
      </c>
      <c r="E10" s="91"/>
      <c r="F10" s="91"/>
      <c r="J10" s="91"/>
      <c r="K10" s="91"/>
      <c r="M10" s="25" t="str">
        <f>+B10</f>
        <v>To record preliminary project stage consultant and in-house</v>
      </c>
      <c r="O10" s="91"/>
      <c r="P10" s="91"/>
    </row>
    <row r="11" spans="1:16" s="25" customFormat="1" x14ac:dyDescent="0.5">
      <c r="A11" s="90"/>
      <c r="B11" s="92" t="s">
        <v>151</v>
      </c>
      <c r="E11" s="91"/>
      <c r="F11" s="91"/>
      <c r="J11" s="91"/>
      <c r="K11" s="91"/>
      <c r="M11" s="92" t="str">
        <f>+B11</f>
        <v xml:space="preserve"> staff costs as expenditures/expenses in year in which they</v>
      </c>
      <c r="O11" s="91"/>
      <c r="P11" s="91"/>
    </row>
    <row r="12" spans="1:16" x14ac:dyDescent="0.5">
      <c r="A12" s="136"/>
      <c r="B12" s="92" t="s">
        <v>152</v>
      </c>
      <c r="C12" s="10"/>
      <c r="D12" s="10"/>
      <c r="E12" s="18"/>
      <c r="F12" s="18"/>
      <c r="H12" s="10"/>
      <c r="I12" s="10"/>
      <c r="J12" s="18"/>
      <c r="K12" s="18"/>
      <c r="M12" s="92" t="str">
        <f>+B12</f>
        <v xml:space="preserve"> were incurred</v>
      </c>
      <c r="N12" s="10"/>
      <c r="O12" s="18"/>
      <c r="P12" s="18"/>
    </row>
    <row r="13" spans="1:16" x14ac:dyDescent="0.5">
      <c r="A13" s="87"/>
      <c r="B13" s="92"/>
      <c r="C13" s="10"/>
      <c r="D13" s="10"/>
      <c r="E13" s="18"/>
      <c r="F13" s="18"/>
      <c r="H13" s="10"/>
      <c r="I13" s="10"/>
      <c r="J13" s="18"/>
      <c r="K13" s="18"/>
      <c r="M13" s="10"/>
      <c r="N13" s="10"/>
      <c r="O13" s="18"/>
      <c r="P13" s="18"/>
    </row>
    <row r="14" spans="1:16" x14ac:dyDescent="0.5">
      <c r="A14" s="17" t="s">
        <v>153</v>
      </c>
      <c r="B14" s="10"/>
      <c r="C14" s="10"/>
      <c r="D14" s="10"/>
      <c r="E14" s="18"/>
      <c r="F14" s="18"/>
      <c r="H14" s="10"/>
      <c r="I14" s="10"/>
      <c r="J14" s="18"/>
      <c r="K14" s="18"/>
      <c r="M14" s="10"/>
      <c r="N14" s="10"/>
      <c r="O14" s="18"/>
      <c r="P14" s="18"/>
    </row>
    <row r="15" spans="1:16" x14ac:dyDescent="0.5">
      <c r="A15" s="93" t="s">
        <v>154</v>
      </c>
      <c r="B15" s="1" t="s">
        <v>155</v>
      </c>
      <c r="E15" s="18">
        <f>+'Ex.1 City Calculations'!F4</f>
        <v>11000</v>
      </c>
      <c r="F15" s="18"/>
      <c r="H15" s="1" t="s">
        <v>156</v>
      </c>
      <c r="J15" s="18">
        <f>+E15</f>
        <v>11000</v>
      </c>
      <c r="K15" s="18"/>
      <c r="M15" s="1" t="str">
        <f>+H15</f>
        <v>Development in progress - SCCC System</v>
      </c>
      <c r="O15" s="18">
        <f>+J15</f>
        <v>11000</v>
      </c>
      <c r="P15" s="18"/>
    </row>
    <row r="16" spans="1:16" x14ac:dyDescent="0.5">
      <c r="A16" s="89"/>
      <c r="C16" s="1" t="s">
        <v>157</v>
      </c>
      <c r="E16" s="11"/>
      <c r="F16" s="18">
        <f>+E15</f>
        <v>11000</v>
      </c>
      <c r="I16" s="1" t="str">
        <f>+B15</f>
        <v>Capital outlay</v>
      </c>
      <c r="J16" s="26"/>
      <c r="K16" s="26">
        <f>+F16</f>
        <v>11000</v>
      </c>
      <c r="N16" s="1" t="str">
        <f>+C16</f>
        <v xml:space="preserve">Cash </v>
      </c>
      <c r="P16" s="26">
        <f>+F16</f>
        <v>11000</v>
      </c>
    </row>
    <row r="17" spans="1:16" x14ac:dyDescent="0.5">
      <c r="A17" s="94"/>
      <c r="B17" s="25" t="s">
        <v>158</v>
      </c>
      <c r="C17" s="32"/>
      <c r="D17" s="32"/>
      <c r="E17" s="11"/>
      <c r="F17" s="18"/>
      <c r="H17" s="23" t="s">
        <v>159</v>
      </c>
      <c r="I17" s="19"/>
      <c r="J17" s="20"/>
      <c r="K17" s="20"/>
      <c r="M17" s="25" t="str">
        <f>+B17</f>
        <v>To record payment for 5 annual full licenses and the initial</v>
      </c>
      <c r="N17" s="19"/>
      <c r="O17" s="20"/>
      <c r="P17" s="20"/>
    </row>
    <row r="18" spans="1:16" x14ac:dyDescent="0.5">
      <c r="A18" s="94"/>
      <c r="B18" s="92" t="s">
        <v>160</v>
      </c>
      <c r="E18" s="11"/>
      <c r="F18" s="18"/>
      <c r="J18" s="11"/>
      <c r="K18" s="11"/>
      <c r="M18" s="92" t="str">
        <f>+B18</f>
        <v>installment to vendor (SCCC) for implementation</v>
      </c>
      <c r="N18" s="19"/>
      <c r="O18" s="20"/>
      <c r="P18" s="20"/>
    </row>
    <row r="19" spans="1:16" x14ac:dyDescent="0.5">
      <c r="A19" s="93"/>
      <c r="B19" s="92"/>
      <c r="E19" s="11"/>
      <c r="F19" s="18"/>
      <c r="H19" s="23"/>
      <c r="J19" s="24"/>
      <c r="K19" s="11"/>
      <c r="M19" s="25"/>
    </row>
    <row r="20" spans="1:16" x14ac:dyDescent="0.5">
      <c r="A20" s="93"/>
    </row>
    <row r="21" spans="1:16" x14ac:dyDescent="0.5">
      <c r="A21" s="93" t="s">
        <v>161</v>
      </c>
      <c r="B21" s="19" t="str">
        <f>+B15</f>
        <v>Capital outlay</v>
      </c>
      <c r="C21" s="19"/>
      <c r="D21" s="19"/>
      <c r="E21" s="11">
        <f>+'Ex.1 City Calculations'!F5</f>
        <v>12000</v>
      </c>
      <c r="F21" s="11"/>
      <c r="H21" s="1" t="str">
        <f>+H15</f>
        <v>Development in progress - SCCC System</v>
      </c>
      <c r="J21" s="26">
        <f>+K22</f>
        <v>12000</v>
      </c>
      <c r="M21" s="1" t="str">
        <f>+H21</f>
        <v>Development in progress - SCCC System</v>
      </c>
      <c r="O21" s="18">
        <f>+J21</f>
        <v>12000</v>
      </c>
      <c r="P21" s="18"/>
    </row>
    <row r="22" spans="1:16" x14ac:dyDescent="0.5">
      <c r="A22" s="21"/>
      <c r="B22" s="19"/>
      <c r="C22" s="19" t="s">
        <v>149</v>
      </c>
      <c r="D22" s="19"/>
      <c r="E22" s="11"/>
      <c r="F22" s="11">
        <f>+E21</f>
        <v>12000</v>
      </c>
      <c r="I22" s="1" t="str">
        <f>+B21</f>
        <v>Capital outlay</v>
      </c>
      <c r="K22" s="26">
        <f>+E21</f>
        <v>12000</v>
      </c>
      <c r="N22" s="1" t="str">
        <f>+C22</f>
        <v>Cash</v>
      </c>
      <c r="P22" s="26">
        <f>+F22</f>
        <v>12000</v>
      </c>
    </row>
    <row r="23" spans="1:16" x14ac:dyDescent="0.5">
      <c r="A23" s="21"/>
      <c r="B23" s="25" t="s">
        <v>162</v>
      </c>
      <c r="C23" s="34"/>
      <c r="D23" s="34"/>
      <c r="E23" s="11"/>
      <c r="F23" s="11"/>
      <c r="H23" s="23" t="s">
        <v>159</v>
      </c>
      <c r="M23" s="25" t="str">
        <f>+B23</f>
        <v xml:space="preserve">To record payment for 8 full licenses for 10 months of year, </v>
      </c>
      <c r="N23" s="19"/>
      <c r="O23" s="20"/>
      <c r="P23" s="20"/>
    </row>
    <row r="24" spans="1:16" x14ac:dyDescent="0.5">
      <c r="A24" s="21"/>
      <c r="B24" s="92" t="s">
        <v>163</v>
      </c>
      <c r="C24" s="34"/>
      <c r="D24" s="34"/>
      <c r="E24" s="11"/>
      <c r="F24" s="11"/>
      <c r="M24" s="92" t="str">
        <f>+B24</f>
        <v>and the second installment to SCCC for implementation</v>
      </c>
      <c r="N24" s="19"/>
      <c r="O24" s="20"/>
      <c r="P24" s="20"/>
    </row>
    <row r="25" spans="1:16" x14ac:dyDescent="0.5">
      <c r="A25" s="21"/>
      <c r="B25" s="92"/>
      <c r="C25" s="34"/>
      <c r="D25" s="34"/>
      <c r="E25" s="11"/>
      <c r="F25" s="11"/>
      <c r="M25" s="25"/>
      <c r="N25" s="19"/>
      <c r="O25" s="20"/>
      <c r="P25" s="20"/>
    </row>
    <row r="26" spans="1:16" x14ac:dyDescent="0.5">
      <c r="A26" s="21"/>
      <c r="B26" s="92"/>
      <c r="C26" s="34"/>
      <c r="D26" s="34"/>
      <c r="E26" s="11"/>
      <c r="F26" s="11"/>
      <c r="M26" s="25"/>
      <c r="N26" s="19"/>
      <c r="O26" s="20"/>
      <c r="P26" s="20"/>
    </row>
    <row r="27" spans="1:16" x14ac:dyDescent="0.5">
      <c r="A27" s="93" t="s">
        <v>164</v>
      </c>
      <c r="B27" s="1" t="s">
        <v>155</v>
      </c>
      <c r="E27" s="11">
        <f>+'Ex.1 Term &amp; Cost Classification'!I12</f>
        <v>2040</v>
      </c>
      <c r="H27" s="1" t="str">
        <f>+H21</f>
        <v>Development in progress - SCCC System</v>
      </c>
      <c r="J27" s="26">
        <f>+K28</f>
        <v>2040</v>
      </c>
      <c r="M27" s="1" t="str">
        <f>+H27</f>
        <v>Development in progress - SCCC System</v>
      </c>
      <c r="O27" s="26">
        <f>+J27</f>
        <v>2040</v>
      </c>
    </row>
    <row r="28" spans="1:16" x14ac:dyDescent="0.5">
      <c r="A28" s="93"/>
      <c r="B28" s="19" t="s">
        <v>148</v>
      </c>
      <c r="C28" s="19"/>
      <c r="D28" s="19"/>
      <c r="E28" s="11">
        <f>+'Ex.1 Term &amp; Cost Classification'!J12</f>
        <v>960</v>
      </c>
      <c r="F28" s="11"/>
      <c r="I28" s="1" t="str">
        <f>+B27</f>
        <v>Capital outlay</v>
      </c>
      <c r="K28" s="26">
        <f>+E27</f>
        <v>2040</v>
      </c>
      <c r="M28" s="1" t="str">
        <f>+B28</f>
        <v>Salaries and benefits expenditures/expense</v>
      </c>
      <c r="N28" s="19"/>
      <c r="O28" s="20">
        <f>+E28</f>
        <v>960</v>
      </c>
      <c r="P28" s="20"/>
    </row>
    <row r="29" spans="1:16" x14ac:dyDescent="0.5">
      <c r="A29" s="21"/>
      <c r="B29" s="19"/>
      <c r="C29" s="19" t="str">
        <f>+C16</f>
        <v xml:space="preserve">Cash </v>
      </c>
      <c r="D29" s="19"/>
      <c r="E29" s="11"/>
      <c r="F29" s="11">
        <f>+'Ex.1 Term &amp; Cost Classification'!C12</f>
        <v>3000</v>
      </c>
      <c r="H29" s="23" t="s">
        <v>159</v>
      </c>
      <c r="M29" s="25"/>
      <c r="N29" s="19" t="str">
        <f>+C29</f>
        <v xml:space="preserve">Cash </v>
      </c>
      <c r="O29" s="20"/>
      <c r="P29" s="20">
        <f>+F29</f>
        <v>3000</v>
      </c>
    </row>
    <row r="30" spans="1:16" x14ac:dyDescent="0.5">
      <c r="A30" s="21"/>
      <c r="B30" s="23" t="s">
        <v>165</v>
      </c>
      <c r="C30" s="19"/>
      <c r="D30" s="19"/>
      <c r="E30" s="11"/>
      <c r="F30" s="11"/>
      <c r="M30" s="25" t="str">
        <f>+B30</f>
        <v>To record payment of City IT personnel salaries and benefits</v>
      </c>
      <c r="N30" s="19"/>
      <c r="O30" s="20"/>
      <c r="P30" s="20"/>
    </row>
    <row r="31" spans="1:16" x14ac:dyDescent="0.5">
      <c r="A31" s="21"/>
      <c r="B31" s="92" t="s">
        <v>166</v>
      </c>
      <c r="C31" s="34"/>
      <c r="D31" s="34"/>
      <c r="E31" s="11"/>
      <c r="F31" s="11"/>
      <c r="M31" s="92" t="str">
        <f>+B31</f>
        <v>for time spent on SCCC System initial implementation stage</v>
      </c>
      <c r="N31" s="19"/>
      <c r="O31" s="20"/>
      <c r="P31" s="20"/>
    </row>
    <row r="32" spans="1:16" x14ac:dyDescent="0.5">
      <c r="A32" s="21"/>
      <c r="B32" s="92" t="s">
        <v>167</v>
      </c>
      <c r="C32" s="34"/>
      <c r="D32" s="34"/>
      <c r="E32" s="11"/>
      <c r="F32" s="11"/>
      <c r="M32" s="92" t="str">
        <f>+B32</f>
        <v>work as capital outlay and time spent for training as</v>
      </c>
      <c r="N32" s="19"/>
      <c r="O32" s="20"/>
      <c r="P32" s="20"/>
    </row>
    <row r="33" spans="1:16" x14ac:dyDescent="0.5">
      <c r="A33" s="21"/>
      <c r="B33" s="92" t="s">
        <v>168</v>
      </c>
      <c r="C33" s="34"/>
      <c r="D33" s="34"/>
      <c r="E33" s="11"/>
      <c r="F33" s="11"/>
      <c r="M33" s="92" t="str">
        <f>+B33</f>
        <v>current period expenditure/expense</v>
      </c>
      <c r="N33" s="19"/>
      <c r="O33" s="20"/>
      <c r="P33" s="20"/>
    </row>
    <row r="34" spans="1:16" x14ac:dyDescent="0.5">
      <c r="A34" s="21"/>
      <c r="B34" s="92"/>
      <c r="C34" s="34"/>
      <c r="D34" s="34"/>
      <c r="E34" s="11"/>
      <c r="F34" s="11"/>
      <c r="M34" s="25"/>
      <c r="N34" s="19"/>
      <c r="O34" s="20"/>
      <c r="P34" s="20"/>
    </row>
    <row r="35" spans="1:16" x14ac:dyDescent="0.5">
      <c r="A35" s="21"/>
      <c r="B35" s="92"/>
      <c r="C35" s="34"/>
      <c r="D35" s="34"/>
      <c r="E35" s="11"/>
      <c r="F35" s="11"/>
      <c r="M35" s="25"/>
      <c r="N35" s="23"/>
      <c r="O35" s="20"/>
      <c r="P35" s="20"/>
    </row>
    <row r="36" spans="1:16" x14ac:dyDescent="0.5">
      <c r="A36" s="93" t="s">
        <v>169</v>
      </c>
      <c r="B36" s="1" t="s">
        <v>155</v>
      </c>
      <c r="E36" s="11">
        <f>+'Ex.1 City Calculations'!F6+F38</f>
        <v>86170</v>
      </c>
      <c r="F36" s="11"/>
      <c r="H36" s="1" t="str">
        <f>+C38</f>
        <v>Other financing source - SCCC SBITA</v>
      </c>
      <c r="J36" s="26">
        <f>+F38</f>
        <v>61270</v>
      </c>
      <c r="M36" s="1" t="str">
        <f>+H37</f>
        <v>Subscription asset</v>
      </c>
      <c r="N36" s="19"/>
      <c r="O36" s="20">
        <f>+J37</f>
        <v>111210</v>
      </c>
      <c r="P36" s="20"/>
    </row>
    <row r="37" spans="1:16" x14ac:dyDescent="0.5">
      <c r="A37" s="93"/>
      <c r="B37" s="1" t="str">
        <f>+B7</f>
        <v>Current expenditure/expense - consultants</v>
      </c>
      <c r="E37" s="11">
        <f>+'Ex.1 City Calculations'!H7</f>
        <v>12000</v>
      </c>
      <c r="F37" s="11"/>
      <c r="H37" s="1" t="s">
        <v>83</v>
      </c>
      <c r="J37" s="26">
        <f>+'Ex.1 City Calculations'!J9</f>
        <v>111210</v>
      </c>
      <c r="M37" s="1" t="str">
        <f>+B37</f>
        <v>Current expenditure/expense - consultants</v>
      </c>
      <c r="N37" s="19"/>
      <c r="O37" s="20">
        <f>+E37</f>
        <v>12000</v>
      </c>
      <c r="P37" s="20"/>
    </row>
    <row r="38" spans="1:16" x14ac:dyDescent="0.5">
      <c r="A38" s="14"/>
      <c r="C38" s="1" t="s">
        <v>170</v>
      </c>
      <c r="E38" s="11"/>
      <c r="F38" s="11">
        <f>+'Ex.1 City Calculations'!J4</f>
        <v>61270</v>
      </c>
      <c r="I38" s="1" t="str">
        <f>+H27</f>
        <v>Development in progress - SCCC System</v>
      </c>
      <c r="K38" s="26">
        <f>+J27+J21+J15</f>
        <v>25040</v>
      </c>
      <c r="N38" s="19" t="str">
        <f>+I38</f>
        <v>Development in progress - SCCC System</v>
      </c>
      <c r="O38" s="20"/>
      <c r="P38" s="20">
        <f>+K38</f>
        <v>25040</v>
      </c>
    </row>
    <row r="39" spans="1:16" x14ac:dyDescent="0.5">
      <c r="A39" s="14"/>
      <c r="C39" s="1" t="s">
        <v>149</v>
      </c>
      <c r="E39" s="11"/>
      <c r="F39" s="11">
        <f>+'Ex.1 City Calculations'!E6</f>
        <v>36900</v>
      </c>
      <c r="I39" s="1" t="str">
        <f>+B36</f>
        <v>Capital outlay</v>
      </c>
      <c r="K39" s="26">
        <f>+E36</f>
        <v>86170</v>
      </c>
      <c r="M39" s="19"/>
      <c r="N39" s="1" t="str">
        <f>+I40</f>
        <v>Subscription liability</v>
      </c>
      <c r="O39" s="11"/>
      <c r="P39" s="11">
        <f>+K40</f>
        <v>61270</v>
      </c>
    </row>
    <row r="40" spans="1:16" x14ac:dyDescent="0.5">
      <c r="A40" s="21"/>
      <c r="B40" s="23" t="s">
        <v>171</v>
      </c>
      <c r="H40" s="23"/>
      <c r="I40" s="19" t="s">
        <v>78</v>
      </c>
      <c r="J40" s="20"/>
      <c r="K40" s="20">
        <f>+J36</f>
        <v>61270</v>
      </c>
      <c r="N40" s="1" t="str">
        <f>+C39</f>
        <v>Cash</v>
      </c>
      <c r="P40" s="26">
        <f>+F39</f>
        <v>36900</v>
      </c>
    </row>
    <row r="41" spans="1:16" x14ac:dyDescent="0.5">
      <c r="A41" s="14"/>
      <c r="B41" s="97" t="s">
        <v>172</v>
      </c>
      <c r="H41" s="25" t="s">
        <v>173</v>
      </c>
      <c r="I41" s="22"/>
      <c r="J41" s="20"/>
      <c r="K41" s="20"/>
      <c r="M41" s="23" t="str">
        <f>+B40</f>
        <v>To record inception of subscription when System is placed</v>
      </c>
    </row>
    <row r="42" spans="1:16" x14ac:dyDescent="0.5">
      <c r="A42" s="14"/>
      <c r="B42" s="97" t="s">
        <v>174</v>
      </c>
      <c r="H42" s="97" t="s">
        <v>175</v>
      </c>
      <c r="I42" s="19"/>
      <c r="J42" s="20"/>
      <c r="K42" s="20"/>
      <c r="M42" s="92" t="str">
        <f>+B41</f>
        <v xml:space="preserve">into service, including final installment for implementation </v>
      </c>
      <c r="O42" s="20"/>
      <c r="P42" s="20"/>
    </row>
    <row r="43" spans="1:16" x14ac:dyDescent="0.5">
      <c r="A43" s="14"/>
      <c r="E43" s="11"/>
      <c r="F43" s="11"/>
      <c r="H43" s="92" t="s">
        <v>176</v>
      </c>
      <c r="I43" s="19"/>
      <c r="J43" s="20"/>
      <c r="K43" s="20"/>
      <c r="M43" s="92" t="str">
        <f>+B42</f>
        <v>and additional licenses and annual services for 3/4ths of year</v>
      </c>
    </row>
    <row r="44" spans="1:16" x14ac:dyDescent="0.5">
      <c r="A44" s="14"/>
      <c r="C44" s="23"/>
      <c r="D44" s="23"/>
      <c r="E44" s="11"/>
      <c r="F44" s="11"/>
      <c r="I44" s="27"/>
      <c r="J44" s="20"/>
      <c r="K44" s="20"/>
      <c r="N44" s="19"/>
      <c r="O44" s="20"/>
      <c r="P44" s="20"/>
    </row>
    <row r="45" spans="1:16" x14ac:dyDescent="0.5">
      <c r="A45" s="14"/>
      <c r="B45" s="19"/>
      <c r="C45" s="25"/>
      <c r="D45" s="25"/>
      <c r="E45" s="11"/>
      <c r="F45" s="11"/>
      <c r="H45" s="23"/>
      <c r="I45" s="19"/>
      <c r="J45" s="20"/>
      <c r="K45" s="20"/>
      <c r="M45" s="19"/>
      <c r="N45" s="19"/>
      <c r="O45" s="11"/>
      <c r="P45" s="11"/>
    </row>
    <row r="46" spans="1:16" ht="31.5" x14ac:dyDescent="0.5">
      <c r="A46" s="103" t="s">
        <v>177</v>
      </c>
      <c r="B46" s="1" t="str">
        <f>+B28</f>
        <v>Salaries and benefits expenditures/expense</v>
      </c>
      <c r="C46" s="25"/>
      <c r="D46" s="25"/>
      <c r="E46" s="11">
        <f>+'Ex.1 Assumptions'!D28</f>
        <v>4500</v>
      </c>
      <c r="F46" s="11"/>
      <c r="H46" s="23"/>
      <c r="I46" s="1" t="s">
        <v>146</v>
      </c>
      <c r="J46" s="20"/>
      <c r="K46" s="20"/>
      <c r="M46" s="1" t="str">
        <f>+B46</f>
        <v>Salaries and benefits expenditures/expense</v>
      </c>
      <c r="O46" s="11">
        <f>+E46</f>
        <v>4500</v>
      </c>
      <c r="P46" s="11"/>
    </row>
    <row r="47" spans="1:16" x14ac:dyDescent="0.5">
      <c r="A47" s="14"/>
      <c r="B47" s="19"/>
      <c r="C47" s="1" t="s">
        <v>149</v>
      </c>
      <c r="E47" s="11"/>
      <c r="F47" s="11">
        <f>+E46</f>
        <v>4500</v>
      </c>
      <c r="H47" s="23"/>
      <c r="I47" s="19"/>
      <c r="J47" s="20"/>
      <c r="K47" s="20"/>
      <c r="M47" s="19"/>
      <c r="N47" s="19" t="str">
        <f>+C47</f>
        <v>Cash</v>
      </c>
      <c r="O47" s="11"/>
      <c r="P47" s="11">
        <f>+F47</f>
        <v>4500</v>
      </c>
    </row>
    <row r="48" spans="1:16" x14ac:dyDescent="0.5">
      <c r="A48" s="14"/>
      <c r="B48" s="23" t="s">
        <v>178</v>
      </c>
      <c r="C48" s="25"/>
      <c r="D48" s="25"/>
      <c r="E48" s="11"/>
      <c r="F48" s="11"/>
      <c r="H48" s="23"/>
      <c r="I48" s="19"/>
      <c r="J48" s="20"/>
      <c r="K48" s="20"/>
      <c r="M48" s="23" t="str">
        <f>+B48</f>
        <v>To record as current period expenditures/expenses the cost</v>
      </c>
      <c r="N48" s="19"/>
      <c r="O48" s="11"/>
      <c r="P48" s="11"/>
    </row>
    <row r="49" spans="1:16" x14ac:dyDescent="0.5">
      <c r="A49" s="14"/>
      <c r="B49" s="97" t="s">
        <v>179</v>
      </c>
      <c r="C49" s="25"/>
      <c r="D49" s="25"/>
      <c r="E49" s="11"/>
      <c r="F49" s="11"/>
      <c r="H49" s="23"/>
      <c r="I49" s="19"/>
      <c r="J49" s="20"/>
      <c r="K49" s="20"/>
      <c r="M49" s="97" t="str">
        <f>+B49</f>
        <v>of City staff time spent operating the System</v>
      </c>
      <c r="N49" s="19"/>
      <c r="O49" s="11"/>
      <c r="P49" s="11"/>
    </row>
    <row r="50" spans="1:16" x14ac:dyDescent="0.5">
      <c r="A50" s="14"/>
      <c r="B50" s="19"/>
      <c r="C50" s="25"/>
      <c r="D50" s="25"/>
      <c r="E50" s="11"/>
      <c r="F50" s="11"/>
      <c r="H50" s="23"/>
      <c r="I50" s="19"/>
      <c r="J50" s="20"/>
      <c r="K50" s="20"/>
      <c r="M50" s="19"/>
      <c r="N50" s="19"/>
      <c r="O50" s="11"/>
      <c r="P50" s="11"/>
    </row>
    <row r="51" spans="1:16" x14ac:dyDescent="0.5">
      <c r="A51" s="14"/>
      <c r="B51" s="19"/>
      <c r="C51" s="25"/>
      <c r="D51" s="25"/>
      <c r="E51" s="11"/>
      <c r="F51" s="11"/>
      <c r="H51" s="23"/>
      <c r="I51" s="19"/>
      <c r="J51" s="20"/>
      <c r="K51" s="20"/>
      <c r="M51" s="19"/>
      <c r="N51" s="19"/>
      <c r="O51" s="11"/>
      <c r="P51" s="11"/>
    </row>
    <row r="52" spans="1:16" x14ac:dyDescent="0.5">
      <c r="A52" s="103" t="s">
        <v>180</v>
      </c>
      <c r="B52" s="19"/>
      <c r="C52" s="1" t="s">
        <v>146</v>
      </c>
      <c r="E52" s="11"/>
      <c r="F52" s="11"/>
      <c r="H52" s="1" t="s">
        <v>181</v>
      </c>
      <c r="I52" s="19"/>
      <c r="J52" s="18">
        <f>+'Ex.1 City Calculations'!R29</f>
        <v>30330</v>
      </c>
      <c r="K52" s="20"/>
      <c r="M52" s="1" t="str">
        <f>+H52</f>
        <v>Amortization expense</v>
      </c>
      <c r="N52" s="19"/>
      <c r="O52" s="11">
        <f>+J52</f>
        <v>30330</v>
      </c>
      <c r="P52" s="11"/>
    </row>
    <row r="53" spans="1:16" x14ac:dyDescent="0.5">
      <c r="A53" s="14"/>
      <c r="C53" s="23"/>
      <c r="D53" s="23"/>
      <c r="E53" s="11"/>
      <c r="F53" s="11"/>
      <c r="H53" s="23"/>
      <c r="I53" s="19" t="s">
        <v>182</v>
      </c>
      <c r="J53" s="20"/>
      <c r="K53" s="20">
        <f>+J52</f>
        <v>30330</v>
      </c>
      <c r="M53" s="19"/>
      <c r="N53" s="19" t="str">
        <f>+I53</f>
        <v>Accumulated amortization - Subscription asset</v>
      </c>
      <c r="O53" s="20"/>
      <c r="P53" s="20">
        <f>+K53</f>
        <v>30330</v>
      </c>
    </row>
    <row r="54" spans="1:16" x14ac:dyDescent="0.5">
      <c r="A54" s="14"/>
      <c r="C54" s="25"/>
      <c r="D54" s="25"/>
      <c r="E54" s="11"/>
      <c r="F54" s="11"/>
      <c r="H54" s="23" t="s">
        <v>183</v>
      </c>
      <c r="I54" s="19"/>
      <c r="J54" s="20"/>
      <c r="K54" s="20"/>
      <c r="M54" s="23" t="str">
        <f>+H54</f>
        <v>To record amortization of subscription asset for 9 months</v>
      </c>
      <c r="N54" s="19"/>
      <c r="O54" s="20"/>
      <c r="P54" s="20"/>
    </row>
    <row r="55" spans="1:16" x14ac:dyDescent="0.5">
      <c r="A55" s="14"/>
      <c r="C55" s="25"/>
      <c r="D55" s="25"/>
      <c r="E55" s="11"/>
      <c r="F55" s="11"/>
      <c r="H55" s="97" t="s">
        <v>184</v>
      </c>
      <c r="I55" s="19"/>
      <c r="J55" s="20"/>
      <c r="K55" s="20"/>
      <c r="M55" s="97" t="str">
        <f>+H55</f>
        <v>of 20X1</v>
      </c>
      <c r="N55" s="19"/>
      <c r="O55" s="20"/>
      <c r="P55" s="20"/>
    </row>
    <row r="56" spans="1:16" x14ac:dyDescent="0.5">
      <c r="A56" s="14"/>
      <c r="C56" s="25"/>
      <c r="D56" s="25"/>
      <c r="E56" s="11"/>
      <c r="F56" s="11"/>
      <c r="H56" s="97"/>
      <c r="I56" s="19"/>
      <c r="J56" s="20"/>
      <c r="K56" s="20"/>
      <c r="M56" s="97"/>
      <c r="N56" s="19"/>
      <c r="O56" s="20"/>
      <c r="P56" s="20"/>
    </row>
    <row r="57" spans="1:16" x14ac:dyDescent="0.5">
      <c r="A57" s="14"/>
      <c r="C57" s="25"/>
      <c r="D57" s="25"/>
      <c r="E57" s="11"/>
      <c r="F57" s="11"/>
      <c r="H57" s="97"/>
      <c r="I57" s="19"/>
      <c r="J57" s="20"/>
      <c r="K57" s="20"/>
      <c r="M57" s="97"/>
      <c r="N57" s="19"/>
      <c r="O57" s="20"/>
      <c r="P57" s="20"/>
    </row>
    <row r="58" spans="1:16" x14ac:dyDescent="0.5">
      <c r="A58" s="103" t="s">
        <v>185</v>
      </c>
      <c r="C58" s="1" t="s">
        <v>146</v>
      </c>
      <c r="D58" s="25"/>
      <c r="E58" s="11"/>
      <c r="F58" s="11"/>
      <c r="H58" s="32" t="s">
        <v>186</v>
      </c>
      <c r="I58" s="19"/>
      <c r="J58" s="18">
        <f>+'Ex.1 City Calculations'!K30</f>
        <v>2812.9411842181521</v>
      </c>
      <c r="K58" s="20"/>
      <c r="M58" s="32" t="str">
        <f>+H58</f>
        <v>Subscription interest expense</v>
      </c>
      <c r="N58" s="19"/>
      <c r="O58" s="18">
        <f>+J58</f>
        <v>2812.9411842181521</v>
      </c>
      <c r="P58" s="20"/>
    </row>
    <row r="59" spans="1:16" x14ac:dyDescent="0.5">
      <c r="A59" s="14"/>
      <c r="C59" s="25"/>
      <c r="D59" s="25"/>
      <c r="E59" s="11"/>
      <c r="F59" s="11"/>
      <c r="H59" s="97"/>
      <c r="I59" s="19" t="s">
        <v>187</v>
      </c>
      <c r="J59" s="20"/>
      <c r="K59" s="20">
        <f>+J58</f>
        <v>2812.9411842181521</v>
      </c>
      <c r="M59" s="97"/>
      <c r="N59" s="19" t="str">
        <f>+I59</f>
        <v>Subscription interest payable</v>
      </c>
      <c r="O59" s="20"/>
      <c r="P59" s="20">
        <f>+K59</f>
        <v>2812.9411842181521</v>
      </c>
    </row>
    <row r="60" spans="1:16" x14ac:dyDescent="0.5">
      <c r="A60" s="14"/>
      <c r="E60" s="11"/>
      <c r="F60" s="11"/>
      <c r="H60" s="23" t="s">
        <v>188</v>
      </c>
      <c r="I60" s="19"/>
      <c r="J60" s="20"/>
      <c r="K60" s="20"/>
      <c r="M60" s="23" t="str">
        <f>+H60</f>
        <v>To accrue interest payable on subscription for 9 months</v>
      </c>
      <c r="N60" s="19"/>
      <c r="O60" s="20"/>
      <c r="P60" s="20"/>
    </row>
    <row r="61" spans="1:16" x14ac:dyDescent="0.5">
      <c r="A61" s="14"/>
      <c r="E61" s="11"/>
      <c r="F61" s="11"/>
      <c r="H61" s="97" t="s">
        <v>184</v>
      </c>
      <c r="I61" s="19"/>
      <c r="J61" s="20"/>
      <c r="K61" s="20"/>
      <c r="M61" s="97" t="str">
        <f>+H61</f>
        <v>of 20X1</v>
      </c>
      <c r="N61" s="19"/>
      <c r="O61" s="20"/>
      <c r="P61" s="20"/>
    </row>
    <row r="62" spans="1:16" x14ac:dyDescent="0.5">
      <c r="A62" s="14"/>
      <c r="E62" s="11"/>
      <c r="F62" s="11"/>
      <c r="H62" s="23"/>
      <c r="I62" s="19"/>
      <c r="J62" s="20"/>
      <c r="K62" s="20"/>
      <c r="M62" s="23"/>
      <c r="N62" s="19"/>
      <c r="O62" s="20"/>
      <c r="P62" s="20"/>
    </row>
    <row r="63" spans="1:16" x14ac:dyDescent="0.5">
      <c r="A63" s="17" t="s">
        <v>189</v>
      </c>
      <c r="C63" s="19"/>
      <c r="D63" s="19"/>
      <c r="E63" s="11"/>
      <c r="F63" s="11"/>
      <c r="I63" s="19"/>
      <c r="J63" s="20"/>
      <c r="K63" s="20"/>
      <c r="P63" s="20"/>
    </row>
    <row r="64" spans="1:16" x14ac:dyDescent="0.5">
      <c r="A64" s="93" t="s">
        <v>190</v>
      </c>
      <c r="B64" s="1" t="s">
        <v>191</v>
      </c>
      <c r="C64" s="19"/>
      <c r="D64" s="19"/>
      <c r="E64" s="11">
        <f>+'Ex.1 City Calculations'!L30</f>
        <v>30187.058815781849</v>
      </c>
      <c r="F64" s="11"/>
      <c r="H64" s="22" t="str">
        <f>+I40</f>
        <v>Subscription liability</v>
      </c>
      <c r="I64" s="28"/>
      <c r="J64" s="20">
        <f>+E64</f>
        <v>30187.058815781849</v>
      </c>
      <c r="K64" s="20"/>
      <c r="M64" s="22" t="str">
        <f>+H64</f>
        <v>Subscription liability</v>
      </c>
      <c r="N64" s="28"/>
      <c r="O64" s="20">
        <f>+J64</f>
        <v>30187.058815781849</v>
      </c>
      <c r="P64" s="20"/>
    </row>
    <row r="65" spans="1:16" x14ac:dyDescent="0.5">
      <c r="A65" s="21"/>
      <c r="B65" s="1" t="s">
        <v>192</v>
      </c>
      <c r="C65" s="19"/>
      <c r="D65" s="19"/>
      <c r="E65" s="11">
        <f>+'Ex.1 City Calculations'!K30</f>
        <v>2812.9411842181521</v>
      </c>
      <c r="F65" s="11"/>
      <c r="H65" s="1" t="str">
        <f>+I59</f>
        <v>Subscription interest payable</v>
      </c>
      <c r="J65" s="26">
        <f>+K59</f>
        <v>2812.9411842181521</v>
      </c>
      <c r="K65" s="26"/>
      <c r="M65" s="1" t="str">
        <f>+H65</f>
        <v>Subscription interest payable</v>
      </c>
      <c r="O65" s="26">
        <f>+J65</f>
        <v>2812.9411842181521</v>
      </c>
      <c r="P65" s="26"/>
    </row>
    <row r="66" spans="1:16" x14ac:dyDescent="0.5">
      <c r="A66" s="14"/>
      <c r="B66" s="1" t="str">
        <f>+B37</f>
        <v>Current expenditure/expense - consultants</v>
      </c>
      <c r="E66" s="11">
        <f>+'Ex.1 City Calculations'!H9</f>
        <v>12000</v>
      </c>
      <c r="F66" s="11"/>
      <c r="H66" s="25"/>
      <c r="I66" s="22" t="str">
        <f>+B64</f>
        <v>Debt service - subscription principal</v>
      </c>
      <c r="K66" s="20">
        <f>+E64</f>
        <v>30187.058815781849</v>
      </c>
      <c r="M66" s="22" t="str">
        <f>+B66</f>
        <v>Current expenditure/expense - consultants</v>
      </c>
      <c r="O66" s="20">
        <f>+E66</f>
        <v>12000</v>
      </c>
      <c r="P66" s="20"/>
    </row>
    <row r="67" spans="1:16" x14ac:dyDescent="0.5">
      <c r="C67" s="1" t="str">
        <f>+C47</f>
        <v>Cash</v>
      </c>
      <c r="E67" s="11"/>
      <c r="F67" s="11">
        <f>+'Ex.1 City Calculations'!E9</f>
        <v>45000</v>
      </c>
      <c r="I67" s="1" t="str">
        <f>+B65</f>
        <v>Debt service - subscription interest expenditure/expense</v>
      </c>
      <c r="K67" s="26">
        <f>+E65</f>
        <v>2812.9411842181521</v>
      </c>
      <c r="N67" s="1" t="str">
        <f>+C67</f>
        <v>Cash</v>
      </c>
      <c r="P67" s="26">
        <f>+F67</f>
        <v>45000</v>
      </c>
    </row>
    <row r="68" spans="1:16" x14ac:dyDescent="0.5">
      <c r="B68" s="25" t="s">
        <v>193</v>
      </c>
      <c r="E68" s="11"/>
      <c r="F68" s="11"/>
      <c r="H68" s="25" t="s">
        <v>194</v>
      </c>
      <c r="M68" s="25" t="str">
        <f>+H68</f>
        <v>To recognize reduction in subscription liability and accrued</v>
      </c>
    </row>
    <row r="69" spans="1:16" x14ac:dyDescent="0.5">
      <c r="B69" s="92" t="s">
        <v>195</v>
      </c>
      <c r="E69" s="11"/>
      <c r="F69" s="11"/>
      <c r="H69" s="92" t="s">
        <v>196</v>
      </c>
      <c r="M69" s="92" t="s">
        <v>197</v>
      </c>
    </row>
    <row r="70" spans="1:16" x14ac:dyDescent="0.5">
      <c r="B70" s="92" t="s">
        <v>198</v>
      </c>
      <c r="E70" s="11"/>
      <c r="F70" s="11"/>
      <c r="M70" s="92" t="s">
        <v>199</v>
      </c>
    </row>
    <row r="71" spans="1:16" x14ac:dyDescent="0.5">
      <c r="E71" s="11"/>
      <c r="F71" s="11"/>
    </row>
    <row r="72" spans="1:16" x14ac:dyDescent="0.5">
      <c r="E72" s="11"/>
      <c r="F72" s="11"/>
    </row>
    <row r="73" spans="1:16" ht="31.5" x14ac:dyDescent="0.5">
      <c r="A73" s="103" t="s">
        <v>200</v>
      </c>
      <c r="B73" s="1" t="str">
        <f>+B46</f>
        <v>Salaries and benefits expenditures/expense</v>
      </c>
      <c r="C73" s="25"/>
      <c r="D73" s="25"/>
      <c r="E73" s="11">
        <f>+'Ex.1 Term &amp; Cost Classification'!M21</f>
        <v>6000</v>
      </c>
      <c r="F73" s="11"/>
      <c r="H73" s="23"/>
      <c r="I73" s="1" t="s">
        <v>146</v>
      </c>
      <c r="J73" s="20"/>
      <c r="K73" s="20"/>
      <c r="M73" s="1" t="str">
        <f>+B73</f>
        <v>Salaries and benefits expenditures/expense</v>
      </c>
      <c r="O73" s="11">
        <f>+E73</f>
        <v>6000</v>
      </c>
      <c r="P73" s="11"/>
    </row>
    <row r="74" spans="1:16" x14ac:dyDescent="0.5">
      <c r="A74" s="14"/>
      <c r="B74" s="19"/>
      <c r="C74" s="1" t="s">
        <v>149</v>
      </c>
      <c r="E74" s="11"/>
      <c r="F74" s="11">
        <f>+E73</f>
        <v>6000</v>
      </c>
      <c r="H74" s="23"/>
      <c r="I74" s="19"/>
      <c r="J74" s="20"/>
      <c r="K74" s="20"/>
      <c r="M74" s="19"/>
      <c r="N74" s="19" t="str">
        <f>+C74</f>
        <v>Cash</v>
      </c>
      <c r="O74" s="11"/>
      <c r="P74" s="11">
        <f>+F74</f>
        <v>6000</v>
      </c>
    </row>
    <row r="75" spans="1:16" x14ac:dyDescent="0.5">
      <c r="A75" s="14"/>
      <c r="B75" s="23" t="s">
        <v>178</v>
      </c>
      <c r="C75" s="25"/>
      <c r="D75" s="25"/>
      <c r="E75" s="11"/>
      <c r="F75" s="11"/>
      <c r="H75" s="23"/>
      <c r="I75" s="19"/>
      <c r="J75" s="20"/>
      <c r="K75" s="20"/>
      <c r="M75" s="23" t="str">
        <f>+B75</f>
        <v>To record as current period expenditures/expenses the cost</v>
      </c>
      <c r="N75" s="19"/>
      <c r="O75" s="11"/>
      <c r="P75" s="11"/>
    </row>
    <row r="76" spans="1:16" x14ac:dyDescent="0.5">
      <c r="A76" s="14"/>
      <c r="B76" s="97" t="s">
        <v>179</v>
      </c>
      <c r="C76" s="25"/>
      <c r="D76" s="25"/>
      <c r="E76" s="11"/>
      <c r="F76" s="11"/>
      <c r="H76" s="23"/>
      <c r="I76" s="19"/>
      <c r="J76" s="20"/>
      <c r="K76" s="20"/>
      <c r="M76" s="97" t="str">
        <f>+B76</f>
        <v>of City staff time spent operating the System</v>
      </c>
      <c r="N76" s="19"/>
      <c r="O76" s="11"/>
      <c r="P76" s="11"/>
    </row>
    <row r="77" spans="1:16" x14ac:dyDescent="0.5">
      <c r="A77" s="14"/>
      <c r="B77" s="19"/>
      <c r="C77" s="25"/>
      <c r="D77" s="25"/>
      <c r="E77" s="11"/>
      <c r="F77" s="11"/>
      <c r="H77" s="23"/>
      <c r="I77" s="19"/>
      <c r="J77" s="20"/>
      <c r="K77" s="20"/>
      <c r="M77" s="19"/>
      <c r="N77" s="19"/>
      <c r="O77" s="11"/>
      <c r="P77" s="11"/>
    </row>
    <row r="78" spans="1:16" x14ac:dyDescent="0.5">
      <c r="E78" s="11"/>
      <c r="F78" s="11"/>
    </row>
    <row r="79" spans="1:16" x14ac:dyDescent="0.5">
      <c r="A79" s="103" t="s">
        <v>201</v>
      </c>
      <c r="B79" s="19"/>
      <c r="C79" s="1" t="s">
        <v>146</v>
      </c>
      <c r="E79" s="11"/>
      <c r="F79" s="11"/>
      <c r="H79" s="1" t="s">
        <v>181</v>
      </c>
      <c r="I79" s="19"/>
      <c r="J79" s="18">
        <f>+'Ex.1 City Calculations'!R41</f>
        <v>40440</v>
      </c>
      <c r="K79" s="20"/>
      <c r="M79" s="1" t="str">
        <f>+H79</f>
        <v>Amortization expense</v>
      </c>
      <c r="N79" s="19"/>
      <c r="O79" s="11">
        <f>+J79</f>
        <v>40440</v>
      </c>
      <c r="P79" s="11"/>
    </row>
    <row r="80" spans="1:16" x14ac:dyDescent="0.5">
      <c r="A80" s="14"/>
      <c r="C80" s="23"/>
      <c r="D80" s="23"/>
      <c r="E80" s="11"/>
      <c r="F80" s="11"/>
      <c r="H80" s="23"/>
      <c r="I80" s="19" t="s">
        <v>182</v>
      </c>
      <c r="J80" s="20"/>
      <c r="K80" s="20">
        <f>+J79</f>
        <v>40440</v>
      </c>
      <c r="M80" s="19"/>
      <c r="N80" s="19" t="str">
        <f>+I80</f>
        <v>Accumulated amortization - Subscription asset</v>
      </c>
      <c r="O80" s="20"/>
      <c r="P80" s="20">
        <f>+K80</f>
        <v>40440</v>
      </c>
    </row>
    <row r="81" spans="1:16" x14ac:dyDescent="0.5">
      <c r="A81" s="14"/>
      <c r="C81" s="25"/>
      <c r="D81" s="25"/>
      <c r="E81" s="11"/>
      <c r="F81" s="11"/>
      <c r="H81" s="23" t="s">
        <v>202</v>
      </c>
      <c r="I81" s="19"/>
      <c r="J81" s="20"/>
      <c r="K81" s="20"/>
      <c r="M81" s="23" t="str">
        <f>+H81</f>
        <v>To record amortization of subscription asset for 20X2</v>
      </c>
      <c r="N81" s="19"/>
      <c r="O81" s="20"/>
      <c r="P81" s="20"/>
    </row>
    <row r="82" spans="1:16" x14ac:dyDescent="0.5">
      <c r="A82" s="14"/>
      <c r="C82" s="25"/>
      <c r="D82" s="25"/>
      <c r="E82" s="11"/>
      <c r="F82" s="11"/>
      <c r="H82" s="97"/>
      <c r="I82" s="19"/>
      <c r="J82" s="20"/>
      <c r="K82" s="20"/>
      <c r="M82" s="97"/>
      <c r="N82" s="19"/>
      <c r="O82" s="20"/>
      <c r="P82" s="20"/>
    </row>
    <row r="83" spans="1:16" x14ac:dyDescent="0.5">
      <c r="A83" s="14"/>
      <c r="C83" s="25"/>
      <c r="D83" s="25"/>
      <c r="E83" s="11"/>
      <c r="F83" s="11"/>
      <c r="H83" s="97"/>
      <c r="I83" s="19"/>
      <c r="J83" s="20"/>
      <c r="K83" s="20"/>
      <c r="M83" s="97"/>
      <c r="N83" s="19"/>
      <c r="O83" s="20"/>
      <c r="P83" s="20"/>
    </row>
    <row r="84" spans="1:16" x14ac:dyDescent="0.5">
      <c r="A84" s="103" t="s">
        <v>203</v>
      </c>
      <c r="C84" s="1" t="s">
        <v>146</v>
      </c>
      <c r="D84" s="25"/>
      <c r="E84" s="11"/>
      <c r="F84" s="11"/>
      <c r="H84" s="32" t="s">
        <v>186</v>
      </c>
      <c r="I84" s="19"/>
      <c r="J84" s="18">
        <f>+'Ex.1 City Calculations'!K42</f>
        <v>1917.1277985555125</v>
      </c>
      <c r="K84" s="20"/>
      <c r="M84" s="32" t="str">
        <f>+H84</f>
        <v>Subscription interest expense</v>
      </c>
      <c r="N84" s="19"/>
      <c r="O84" s="18">
        <f>+J84</f>
        <v>1917.1277985555125</v>
      </c>
      <c r="P84" s="20"/>
    </row>
    <row r="85" spans="1:16" x14ac:dyDescent="0.5">
      <c r="A85" s="14"/>
      <c r="C85" s="25"/>
      <c r="D85" s="25"/>
      <c r="E85" s="11"/>
      <c r="F85" s="11"/>
      <c r="H85" s="97"/>
      <c r="I85" s="19" t="s">
        <v>187</v>
      </c>
      <c r="J85" s="20"/>
      <c r="K85" s="20">
        <f>+J84</f>
        <v>1917.1277985555125</v>
      </c>
      <c r="M85" s="97"/>
      <c r="N85" s="19" t="str">
        <f>+I85</f>
        <v>Subscription interest payable</v>
      </c>
      <c r="O85" s="20"/>
      <c r="P85" s="20">
        <f>+K85</f>
        <v>1917.1277985555125</v>
      </c>
    </row>
    <row r="86" spans="1:16" x14ac:dyDescent="0.5">
      <c r="A86" s="14"/>
      <c r="E86" s="11"/>
      <c r="F86" s="11"/>
      <c r="H86" s="23" t="s">
        <v>204</v>
      </c>
      <c r="I86" s="19"/>
      <c r="J86" s="20"/>
      <c r="K86" s="20"/>
      <c r="M86" s="23" t="str">
        <f>+H86</f>
        <v>To accrue interest payable on subscription for 20X2</v>
      </c>
      <c r="N86" s="19"/>
      <c r="O86" s="20"/>
      <c r="P86" s="20"/>
    </row>
    <row r="87" spans="1:16" x14ac:dyDescent="0.5">
      <c r="A87" s="14"/>
      <c r="E87" s="11"/>
      <c r="F87" s="11"/>
      <c r="H87" s="97"/>
      <c r="I87" s="19"/>
      <c r="J87" s="20"/>
      <c r="K87" s="20"/>
      <c r="M87" s="97"/>
      <c r="N87" s="19"/>
      <c r="O87" s="20"/>
      <c r="P87" s="20"/>
    </row>
    <row r="88" spans="1:16" x14ac:dyDescent="0.5">
      <c r="A88" s="17" t="s">
        <v>205</v>
      </c>
      <c r="C88" s="19"/>
      <c r="D88" s="19"/>
      <c r="E88" s="11"/>
      <c r="F88" s="11"/>
      <c r="I88" s="19"/>
      <c r="J88" s="20"/>
      <c r="K88" s="20"/>
      <c r="P88" s="20"/>
    </row>
    <row r="89" spans="1:16" x14ac:dyDescent="0.5">
      <c r="A89" s="93" t="s">
        <v>206</v>
      </c>
      <c r="B89" s="1" t="s">
        <v>191</v>
      </c>
      <c r="C89" s="19"/>
      <c r="D89" s="19"/>
      <c r="E89" s="11">
        <f>+'Ex.1 City Calculations'!L42</f>
        <v>31082.872201444487</v>
      </c>
      <c r="F89" s="11"/>
      <c r="H89" s="22" t="str">
        <f>+H64</f>
        <v>Subscription liability</v>
      </c>
      <c r="I89" s="28"/>
      <c r="J89" s="20">
        <f>+E89</f>
        <v>31082.872201444487</v>
      </c>
      <c r="K89" s="20"/>
      <c r="M89" s="22" t="str">
        <f>+H89</f>
        <v>Subscription liability</v>
      </c>
      <c r="N89" s="28"/>
      <c r="O89" s="20">
        <f>+J89</f>
        <v>31082.872201444487</v>
      </c>
      <c r="P89" s="20"/>
    </row>
    <row r="90" spans="1:16" x14ac:dyDescent="0.5">
      <c r="A90" s="21"/>
      <c r="B90" s="1" t="s">
        <v>192</v>
      </c>
      <c r="C90" s="19"/>
      <c r="D90" s="19"/>
      <c r="E90" s="11">
        <f>+'Ex.1 City Calculations'!K42</f>
        <v>1917.1277985555125</v>
      </c>
      <c r="F90" s="11"/>
      <c r="H90" s="22" t="str">
        <f>+H65</f>
        <v>Subscription interest payable</v>
      </c>
      <c r="J90" s="26">
        <f>+K85</f>
        <v>1917.1277985555125</v>
      </c>
      <c r="K90" s="26"/>
      <c r="M90" s="1" t="str">
        <f>+H90</f>
        <v>Subscription interest payable</v>
      </c>
      <c r="O90" s="26">
        <f>+J90</f>
        <v>1917.1277985555125</v>
      </c>
      <c r="P90" s="26"/>
    </row>
    <row r="91" spans="1:16" x14ac:dyDescent="0.5">
      <c r="A91" s="14"/>
      <c r="B91" s="1" t="str">
        <f>+B66</f>
        <v>Current expenditure/expense - consultants</v>
      </c>
      <c r="E91" s="11">
        <f>+'Ex.1 City Calculations'!H10</f>
        <v>12000</v>
      </c>
      <c r="F91" s="11"/>
      <c r="H91" s="25"/>
      <c r="I91" s="22" t="str">
        <f>+B89</f>
        <v>Debt service - subscription principal</v>
      </c>
      <c r="K91" s="20">
        <f>+E89</f>
        <v>31082.872201444487</v>
      </c>
      <c r="M91" s="22" t="str">
        <f>+B91</f>
        <v>Current expenditure/expense - consultants</v>
      </c>
      <c r="O91" s="20">
        <f>+E91</f>
        <v>12000</v>
      </c>
      <c r="P91" s="20"/>
    </row>
    <row r="92" spans="1:16" x14ac:dyDescent="0.5">
      <c r="C92" s="1" t="str">
        <f>+C67</f>
        <v>Cash</v>
      </c>
      <c r="E92" s="11"/>
      <c r="F92" s="11">
        <f>+'Ex.1 City Calculations'!E10</f>
        <v>45000</v>
      </c>
      <c r="I92" s="1" t="str">
        <f>+B90</f>
        <v>Debt service - subscription interest expenditure/expense</v>
      </c>
      <c r="K92" s="26">
        <f>+E90</f>
        <v>1917.1277985555125</v>
      </c>
      <c r="N92" s="1" t="str">
        <f>+C92</f>
        <v>Cash</v>
      </c>
      <c r="P92" s="26">
        <f>+F92</f>
        <v>45000</v>
      </c>
    </row>
    <row r="93" spans="1:16" x14ac:dyDescent="0.5">
      <c r="B93" s="25" t="s">
        <v>193</v>
      </c>
      <c r="E93" s="11"/>
      <c r="F93" s="11"/>
      <c r="H93" s="25" t="s">
        <v>194</v>
      </c>
      <c r="M93" s="25" t="str">
        <f>+H93</f>
        <v>To recognize reduction in subscription liability and accrued</v>
      </c>
    </row>
    <row r="94" spans="1:16" x14ac:dyDescent="0.5">
      <c r="B94" s="92" t="s">
        <v>207</v>
      </c>
      <c r="E94" s="11"/>
      <c r="F94" s="11"/>
      <c r="H94" s="92" t="s">
        <v>208</v>
      </c>
      <c r="M94" s="92" t="s">
        <v>197</v>
      </c>
    </row>
    <row r="95" spans="1:16" x14ac:dyDescent="0.5">
      <c r="B95" s="92" t="s">
        <v>209</v>
      </c>
      <c r="E95" s="11"/>
      <c r="F95" s="11"/>
      <c r="M95" s="92" t="s">
        <v>199</v>
      </c>
    </row>
    <row r="96" spans="1:16" x14ac:dyDescent="0.5">
      <c r="E96" s="11"/>
      <c r="F96" s="11"/>
    </row>
    <row r="97" spans="1:16" x14ac:dyDescent="0.5">
      <c r="E97" s="11"/>
      <c r="F97" s="11"/>
    </row>
    <row r="98" spans="1:16" ht="31.5" x14ac:dyDescent="0.5">
      <c r="A98" s="103" t="s">
        <v>210</v>
      </c>
      <c r="B98" s="1" t="str">
        <f>+B73</f>
        <v>Salaries and benefits expenditures/expense</v>
      </c>
      <c r="C98" s="25"/>
      <c r="D98" s="25"/>
      <c r="E98" s="11">
        <f>+'Ex.1 Term &amp; Cost Classification'!M25</f>
        <v>6000</v>
      </c>
      <c r="F98" s="11"/>
      <c r="H98" s="23"/>
      <c r="I98" s="1" t="s">
        <v>146</v>
      </c>
      <c r="J98" s="20"/>
      <c r="K98" s="20"/>
      <c r="M98" s="1" t="str">
        <f>+B98</f>
        <v>Salaries and benefits expenditures/expense</v>
      </c>
      <c r="O98" s="11">
        <f>+E98</f>
        <v>6000</v>
      </c>
      <c r="P98" s="11"/>
    </row>
    <row r="99" spans="1:16" x14ac:dyDescent="0.5">
      <c r="A99" s="14"/>
      <c r="B99" s="19"/>
      <c r="C99" s="1" t="s">
        <v>149</v>
      </c>
      <c r="E99" s="11"/>
      <c r="F99" s="11">
        <f>+E98</f>
        <v>6000</v>
      </c>
      <c r="H99" s="23"/>
      <c r="I99" s="19"/>
      <c r="J99" s="20"/>
      <c r="K99" s="20"/>
      <c r="M99" s="19"/>
      <c r="N99" s="19" t="str">
        <f>+C99</f>
        <v>Cash</v>
      </c>
      <c r="O99" s="11"/>
      <c r="P99" s="11">
        <f>+F99</f>
        <v>6000</v>
      </c>
    </row>
    <row r="100" spans="1:16" x14ac:dyDescent="0.5">
      <c r="A100" s="14"/>
      <c r="B100" s="23" t="s">
        <v>178</v>
      </c>
      <c r="C100" s="25"/>
      <c r="D100" s="25"/>
      <c r="E100" s="11"/>
      <c r="F100" s="11"/>
      <c r="H100" s="23"/>
      <c r="I100" s="19"/>
      <c r="J100" s="20"/>
      <c r="K100" s="20"/>
      <c r="M100" s="23" t="str">
        <f>+B100</f>
        <v>To record as current period expenditures/expenses the cost</v>
      </c>
      <c r="N100" s="19"/>
      <c r="O100" s="11"/>
      <c r="P100" s="11"/>
    </row>
    <row r="101" spans="1:16" x14ac:dyDescent="0.5">
      <c r="A101" s="14"/>
      <c r="B101" s="97" t="s">
        <v>179</v>
      </c>
      <c r="C101" s="25"/>
      <c r="D101" s="25"/>
      <c r="E101" s="11"/>
      <c r="F101" s="11"/>
      <c r="H101" s="23"/>
      <c r="I101" s="19"/>
      <c r="J101" s="20"/>
      <c r="K101" s="20"/>
      <c r="M101" s="97" t="str">
        <f>+B101</f>
        <v>of City staff time spent operating the System</v>
      </c>
      <c r="N101" s="19"/>
      <c r="O101" s="11"/>
      <c r="P101" s="11"/>
    </row>
    <row r="102" spans="1:16" x14ac:dyDescent="0.5">
      <c r="A102" s="14"/>
      <c r="B102" s="97"/>
      <c r="C102" s="25"/>
      <c r="D102" s="25"/>
      <c r="E102" s="11"/>
      <c r="F102" s="11"/>
      <c r="H102" s="23"/>
      <c r="I102" s="19"/>
      <c r="J102" s="20"/>
      <c r="K102" s="20"/>
      <c r="M102" s="97"/>
      <c r="N102" s="19"/>
      <c r="O102" s="11"/>
      <c r="P102" s="11"/>
    </row>
    <row r="103" spans="1:16" x14ac:dyDescent="0.5">
      <c r="E103" s="11"/>
      <c r="F103" s="11"/>
    </row>
    <row r="104" spans="1:16" x14ac:dyDescent="0.5">
      <c r="A104" s="103" t="s">
        <v>211</v>
      </c>
      <c r="B104" s="19"/>
      <c r="C104" s="1" t="s">
        <v>146</v>
      </c>
      <c r="E104" s="11"/>
      <c r="F104" s="11"/>
      <c r="H104" s="1" t="s">
        <v>181</v>
      </c>
      <c r="I104" s="19"/>
      <c r="J104" s="18">
        <f>+'Ex.1 City Calculations'!R41</f>
        <v>40440</v>
      </c>
      <c r="K104" s="20"/>
      <c r="M104" s="1" t="str">
        <f>+H104</f>
        <v>Amortization expense</v>
      </c>
      <c r="N104" s="19"/>
      <c r="O104" s="11">
        <f>+J104</f>
        <v>40440</v>
      </c>
      <c r="P104" s="11"/>
    </row>
    <row r="105" spans="1:16" x14ac:dyDescent="0.5">
      <c r="A105" s="14"/>
      <c r="C105" s="23"/>
      <c r="D105" s="23"/>
      <c r="E105" s="11"/>
      <c r="F105" s="11"/>
      <c r="H105" s="23"/>
      <c r="I105" s="19" t="s">
        <v>182</v>
      </c>
      <c r="J105" s="20"/>
      <c r="K105" s="20">
        <f>+J104</f>
        <v>40440</v>
      </c>
      <c r="M105" s="19"/>
      <c r="N105" s="19" t="str">
        <f>+I105</f>
        <v>Accumulated amortization - Subscription asset</v>
      </c>
      <c r="O105" s="20"/>
      <c r="P105" s="20">
        <f>+K105</f>
        <v>40440</v>
      </c>
    </row>
    <row r="106" spans="1:16" x14ac:dyDescent="0.5">
      <c r="A106" s="14"/>
      <c r="C106" s="25"/>
      <c r="D106" s="25"/>
      <c r="E106" s="11"/>
      <c r="F106" s="11"/>
      <c r="H106" s="23" t="s">
        <v>212</v>
      </c>
      <c r="I106" s="19"/>
      <c r="J106" s="20"/>
      <c r="K106" s="20"/>
      <c r="M106" s="23" t="str">
        <f>+H106</f>
        <v>To record amortization of subscription asset for 20X3</v>
      </c>
      <c r="N106" s="19"/>
      <c r="O106" s="20"/>
      <c r="P106" s="20"/>
    </row>
    <row r="107" spans="1:16" x14ac:dyDescent="0.5">
      <c r="A107" s="14"/>
      <c r="C107" s="25"/>
      <c r="D107" s="25"/>
      <c r="E107" s="11"/>
      <c r="F107" s="11"/>
      <c r="H107" s="97"/>
      <c r="I107" s="19"/>
      <c r="J107" s="20"/>
      <c r="K107" s="20"/>
      <c r="M107" s="97"/>
      <c r="N107" s="19"/>
      <c r="O107" s="20"/>
      <c r="P107" s="20"/>
    </row>
    <row r="109" spans="1:16" x14ac:dyDescent="0.5">
      <c r="A109" s="103" t="s">
        <v>213</v>
      </c>
      <c r="B109" s="19"/>
      <c r="C109" s="1" t="s">
        <v>146</v>
      </c>
      <c r="H109" s="1" t="str">
        <f>+I105</f>
        <v>Accumulated amortization - Subscription asset</v>
      </c>
      <c r="J109" s="26">
        <f>+K53+K80+K105</f>
        <v>111210</v>
      </c>
      <c r="M109" s="1" t="str">
        <f>+H109</f>
        <v>Accumulated amortization - Subscription asset</v>
      </c>
      <c r="O109" s="26">
        <f>+J109</f>
        <v>111210</v>
      </c>
    </row>
    <row r="110" spans="1:16" x14ac:dyDescent="0.5">
      <c r="I110" s="1" t="str">
        <f>+H37</f>
        <v>Subscription asset</v>
      </c>
      <c r="K110" s="26">
        <f>+J37</f>
        <v>111210</v>
      </c>
      <c r="N110" s="1" t="str">
        <f>+I110</f>
        <v>Subscription asset</v>
      </c>
      <c r="P110" s="26">
        <f>+K110</f>
        <v>111210</v>
      </c>
    </row>
    <row r="111" spans="1:16" x14ac:dyDescent="0.5">
      <c r="H111" s="25" t="s">
        <v>214</v>
      </c>
    </row>
    <row r="112" spans="1:16" x14ac:dyDescent="0.5">
      <c r="H112" s="92" t="s">
        <v>215</v>
      </c>
    </row>
    <row r="114" spans="1:16" s="10" customFormat="1" ht="16.149999999999999" thickBot="1" x14ac:dyDescent="0.55000000000000004">
      <c r="A114" s="10" t="s">
        <v>216</v>
      </c>
      <c r="E114" s="208">
        <f>SUM(E7:E108)</f>
        <v>239670</v>
      </c>
      <c r="F114" s="208">
        <f>SUM(F7:F108)</f>
        <v>239670</v>
      </c>
      <c r="J114" s="208">
        <f>SUM(J7:J108)</f>
        <v>379460.06898277369</v>
      </c>
      <c r="K114" s="208">
        <f>SUM(K7:K108)</f>
        <v>379460.06898277369</v>
      </c>
      <c r="O114" s="208">
        <f>SUM(O7:O108)</f>
        <v>380650.06898277369</v>
      </c>
      <c r="P114" s="208">
        <f>SUM(P7:P108)</f>
        <v>380650.06898277369</v>
      </c>
    </row>
    <row r="115" spans="1:16" s="209" customFormat="1" ht="16.149999999999999" thickTop="1" x14ac:dyDescent="0.5">
      <c r="E115" s="210">
        <f>+E114-F114</f>
        <v>0</v>
      </c>
      <c r="J115" s="210">
        <f>+J114-K114</f>
        <v>0</v>
      </c>
      <c r="O115" s="210">
        <f>+O114-P114</f>
        <v>0</v>
      </c>
    </row>
    <row r="116" spans="1:16" x14ac:dyDescent="0.5">
      <c r="O116" s="26"/>
    </row>
  </sheetData>
  <mergeCells count="4">
    <mergeCell ref="A1:P1"/>
    <mergeCell ref="B4:F4"/>
    <mergeCell ref="H4:K4"/>
    <mergeCell ref="M4:P4"/>
  </mergeCells>
  <phoneticPr fontId="13" type="noConversion"/>
  <pageMargins left="0.7" right="0.7" top="0.75" bottom="0.75" header="0.3" footer="0.3"/>
  <pageSetup paperSize="5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4AB7C-75B1-49EE-A46A-30E9B04358E7}">
  <dimension ref="A1:F54"/>
  <sheetViews>
    <sheetView workbookViewId="0"/>
  </sheetViews>
  <sheetFormatPr defaultRowHeight="14.25" x14ac:dyDescent="0.45"/>
  <cols>
    <col min="1" max="1" width="4.59765625" customWidth="1"/>
    <col min="2" max="2" width="13" customWidth="1"/>
    <col min="3" max="3" width="11.59765625" bestFit="1" customWidth="1"/>
    <col min="4" max="4" width="14.59765625" customWidth="1"/>
    <col min="5" max="5" width="134.265625" bestFit="1" customWidth="1"/>
  </cols>
  <sheetData>
    <row r="1" spans="1:5" x14ac:dyDescent="0.45">
      <c r="A1" s="31" t="s">
        <v>0</v>
      </c>
      <c r="B1" s="31"/>
      <c r="C1" s="108"/>
      <c r="D1" s="108"/>
      <c r="E1" t="s">
        <v>248</v>
      </c>
    </row>
    <row r="2" spans="1:5" x14ac:dyDescent="0.45">
      <c r="A2" s="31"/>
      <c r="B2" s="31"/>
      <c r="C2" s="108"/>
      <c r="D2" s="108"/>
    </row>
    <row r="3" spans="1:5" x14ac:dyDescent="0.45">
      <c r="A3" s="31" t="s">
        <v>217</v>
      </c>
      <c r="C3" s="108"/>
      <c r="D3" s="108"/>
    </row>
    <row r="4" spans="1:5" x14ac:dyDescent="0.45">
      <c r="A4" t="s">
        <v>234</v>
      </c>
      <c r="C4" s="108"/>
      <c r="D4" s="108"/>
    </row>
    <row r="5" spans="1:5" x14ac:dyDescent="0.45">
      <c r="B5" t="s">
        <v>235</v>
      </c>
      <c r="C5" s="108"/>
      <c r="D5" s="108"/>
      <c r="E5" t="s">
        <v>241</v>
      </c>
    </row>
    <row r="6" spans="1:5" x14ac:dyDescent="0.45">
      <c r="B6" t="s">
        <v>242</v>
      </c>
      <c r="C6" s="108"/>
      <c r="D6" s="108"/>
      <c r="E6" t="s">
        <v>338</v>
      </c>
    </row>
    <row r="7" spans="1:5" x14ac:dyDescent="0.45">
      <c r="C7" s="108"/>
      <c r="D7" s="108"/>
    </row>
    <row r="8" spans="1:5" x14ac:dyDescent="0.45">
      <c r="A8" t="s">
        <v>345</v>
      </c>
      <c r="C8" s="108"/>
      <c r="D8" s="108"/>
    </row>
    <row r="9" spans="1:5" x14ac:dyDescent="0.45">
      <c r="B9" s="108" t="s">
        <v>5</v>
      </c>
      <c r="C9" s="108"/>
      <c r="D9" s="108"/>
      <c r="E9" t="s">
        <v>6</v>
      </c>
    </row>
    <row r="10" spans="1:5" x14ac:dyDescent="0.45">
      <c r="B10" s="108" t="s">
        <v>222</v>
      </c>
      <c r="C10" s="108"/>
      <c r="D10" s="108"/>
      <c r="E10" t="s">
        <v>221</v>
      </c>
    </row>
    <row r="11" spans="1:5" x14ac:dyDescent="0.45">
      <c r="B11" s="108" t="s">
        <v>243</v>
      </c>
      <c r="E11" s="162">
        <v>500000</v>
      </c>
    </row>
    <row r="12" spans="1:5" x14ac:dyDescent="0.45">
      <c r="B12" s="108"/>
      <c r="E12" s="110"/>
    </row>
    <row r="13" spans="1:5" x14ac:dyDescent="0.45">
      <c r="A13" t="s">
        <v>233</v>
      </c>
      <c r="B13" s="108"/>
      <c r="E13" s="110"/>
    </row>
    <row r="14" spans="1:5" x14ac:dyDescent="0.45">
      <c r="B14" s="108" t="s">
        <v>5</v>
      </c>
      <c r="C14" s="108"/>
      <c r="D14" s="108"/>
      <c r="E14" t="s">
        <v>6</v>
      </c>
    </row>
    <row r="15" spans="1:5" x14ac:dyDescent="0.45">
      <c r="B15" s="108" t="s">
        <v>222</v>
      </c>
      <c r="C15" s="108"/>
      <c r="D15" s="108"/>
      <c r="E15" t="s">
        <v>221</v>
      </c>
    </row>
    <row r="16" spans="1:5" x14ac:dyDescent="0.45">
      <c r="B16" s="108"/>
      <c r="C16" s="108"/>
      <c r="D16" s="108"/>
    </row>
    <row r="18" spans="1:5" x14ac:dyDescent="0.45">
      <c r="A18" s="108" t="s">
        <v>18</v>
      </c>
      <c r="E18" s="110"/>
    </row>
    <row r="19" spans="1:5" ht="28.5" customHeight="1" x14ac:dyDescent="0.45">
      <c r="B19" s="38" t="s">
        <v>19</v>
      </c>
      <c r="C19" s="38" t="s">
        <v>20</v>
      </c>
      <c r="D19" s="43" t="s">
        <v>370</v>
      </c>
      <c r="E19" s="38" t="s">
        <v>21</v>
      </c>
    </row>
    <row r="20" spans="1:5" x14ac:dyDescent="0.45">
      <c r="B20" t="s">
        <v>249</v>
      </c>
      <c r="C20" s="116">
        <v>15000</v>
      </c>
      <c r="D20" s="116" t="s">
        <v>261</v>
      </c>
      <c r="E20" t="s">
        <v>281</v>
      </c>
    </row>
    <row r="21" spans="1:5" x14ac:dyDescent="0.45">
      <c r="B21" t="s">
        <v>249</v>
      </c>
      <c r="C21" s="116">
        <v>40000</v>
      </c>
      <c r="D21" s="116" t="s">
        <v>257</v>
      </c>
      <c r="E21" t="s">
        <v>280</v>
      </c>
    </row>
    <row r="22" spans="1:5" x14ac:dyDescent="0.45">
      <c r="B22" t="s">
        <v>250</v>
      </c>
      <c r="C22" s="116">
        <v>45000</v>
      </c>
      <c r="D22" s="116" t="s">
        <v>270</v>
      </c>
      <c r="E22" t="s">
        <v>282</v>
      </c>
    </row>
    <row r="23" spans="1:5" x14ac:dyDescent="0.45">
      <c r="B23" t="s">
        <v>251</v>
      </c>
      <c r="C23" s="116">
        <v>10000</v>
      </c>
      <c r="D23" s="116" t="s">
        <v>258</v>
      </c>
      <c r="E23" t="s">
        <v>283</v>
      </c>
    </row>
    <row r="24" spans="1:5" x14ac:dyDescent="0.45">
      <c r="B24" t="s">
        <v>252</v>
      </c>
      <c r="C24" s="116">
        <v>20000</v>
      </c>
      <c r="D24" s="116" t="s">
        <v>271</v>
      </c>
      <c r="E24" t="s">
        <v>389</v>
      </c>
    </row>
    <row r="25" spans="1:5" x14ac:dyDescent="0.45">
      <c r="B25" t="s">
        <v>253</v>
      </c>
      <c r="C25" s="116">
        <f>50000</f>
        <v>50000</v>
      </c>
      <c r="D25" s="116" t="s">
        <v>272</v>
      </c>
      <c r="E25" t="s">
        <v>385</v>
      </c>
    </row>
    <row r="26" spans="1:5" x14ac:dyDescent="0.45">
      <c r="B26" t="s">
        <v>254</v>
      </c>
      <c r="C26" s="116">
        <v>16000</v>
      </c>
      <c r="D26" s="116" t="s">
        <v>273</v>
      </c>
      <c r="E26" t="s">
        <v>284</v>
      </c>
    </row>
    <row r="27" spans="1:5" x14ac:dyDescent="0.45">
      <c r="A27" s="230"/>
      <c r="B27" t="s">
        <v>255</v>
      </c>
      <c r="C27" s="116">
        <v>50000</v>
      </c>
      <c r="D27" s="229" t="s">
        <v>262</v>
      </c>
      <c r="E27" t="s">
        <v>240</v>
      </c>
    </row>
    <row r="28" spans="1:5" x14ac:dyDescent="0.45">
      <c r="B28" t="s">
        <v>26</v>
      </c>
      <c r="C28" s="116">
        <f>500000/2</f>
        <v>250000</v>
      </c>
      <c r="D28" s="229" t="s">
        <v>256</v>
      </c>
      <c r="E28" t="s">
        <v>224</v>
      </c>
    </row>
    <row r="29" spans="1:5" x14ac:dyDescent="0.45">
      <c r="B29" t="s">
        <v>26</v>
      </c>
      <c r="C29" s="116">
        <v>300000</v>
      </c>
      <c r="D29" s="229" t="s">
        <v>260</v>
      </c>
      <c r="E29" t="s">
        <v>227</v>
      </c>
    </row>
    <row r="30" spans="1:5" x14ac:dyDescent="0.45">
      <c r="B30" t="s">
        <v>223</v>
      </c>
      <c r="C30" s="116">
        <v>40000</v>
      </c>
      <c r="D30" s="229" t="s">
        <v>274</v>
      </c>
      <c r="E30" t="s">
        <v>238</v>
      </c>
    </row>
    <row r="31" spans="1:5" x14ac:dyDescent="0.45">
      <c r="B31" t="s">
        <v>103</v>
      </c>
      <c r="C31" s="95">
        <v>300000</v>
      </c>
      <c r="D31" s="231" t="s">
        <v>263</v>
      </c>
      <c r="E31" t="s">
        <v>228</v>
      </c>
    </row>
    <row r="32" spans="1:5" x14ac:dyDescent="0.45">
      <c r="B32" t="s">
        <v>225</v>
      </c>
      <c r="C32" s="95">
        <v>400000</v>
      </c>
      <c r="D32" s="231" t="s">
        <v>264</v>
      </c>
      <c r="E32" t="s">
        <v>269</v>
      </c>
    </row>
    <row r="33" spans="2:5" x14ac:dyDescent="0.45">
      <c r="B33" t="s">
        <v>225</v>
      </c>
      <c r="C33" s="95">
        <v>20000</v>
      </c>
      <c r="D33" s="231" t="s">
        <v>275</v>
      </c>
      <c r="E33" t="s">
        <v>236</v>
      </c>
    </row>
    <row r="34" spans="2:5" x14ac:dyDescent="0.45">
      <c r="B34" t="s">
        <v>225</v>
      </c>
      <c r="C34" s="116">
        <f>30000</f>
        <v>30000</v>
      </c>
      <c r="D34" s="231" t="s">
        <v>259</v>
      </c>
      <c r="E34" t="s">
        <v>300</v>
      </c>
    </row>
    <row r="35" spans="2:5" x14ac:dyDescent="0.45">
      <c r="B35" t="s">
        <v>105</v>
      </c>
      <c r="C35" s="116">
        <f>500000/2</f>
        <v>250000</v>
      </c>
      <c r="D35" s="229" t="s">
        <v>256</v>
      </c>
      <c r="E35" t="s">
        <v>224</v>
      </c>
    </row>
    <row r="36" spans="2:5" x14ac:dyDescent="0.45">
      <c r="B36" t="s">
        <v>105</v>
      </c>
      <c r="C36" s="95">
        <v>300000</v>
      </c>
      <c r="D36" s="231" t="s">
        <v>265</v>
      </c>
      <c r="E36" t="s">
        <v>285</v>
      </c>
    </row>
    <row r="37" spans="2:5" x14ac:dyDescent="0.45">
      <c r="B37" t="s">
        <v>105</v>
      </c>
      <c r="C37" s="95">
        <f>200000*0.5</f>
        <v>100000</v>
      </c>
      <c r="D37" s="231" t="s">
        <v>276</v>
      </c>
      <c r="E37" t="s">
        <v>386</v>
      </c>
    </row>
    <row r="38" spans="2:5" x14ac:dyDescent="0.45">
      <c r="B38" t="s">
        <v>229</v>
      </c>
      <c r="C38" s="95">
        <v>35000</v>
      </c>
      <c r="D38" s="231" t="s">
        <v>277</v>
      </c>
      <c r="E38" t="s">
        <v>239</v>
      </c>
    </row>
    <row r="39" spans="2:5" x14ac:dyDescent="0.45">
      <c r="B39" t="s">
        <v>106</v>
      </c>
      <c r="C39" s="95">
        <v>300000</v>
      </c>
      <c r="D39" s="231" t="s">
        <v>267</v>
      </c>
      <c r="E39" t="s">
        <v>266</v>
      </c>
    </row>
    <row r="40" spans="2:5" x14ac:dyDescent="0.45">
      <c r="B40" t="s">
        <v>230</v>
      </c>
      <c r="C40" s="95">
        <v>35000</v>
      </c>
      <c r="D40" s="231" t="s">
        <v>278</v>
      </c>
      <c r="E40" t="s">
        <v>239</v>
      </c>
    </row>
    <row r="41" spans="2:5" x14ac:dyDescent="0.45">
      <c r="B41" t="s">
        <v>226</v>
      </c>
      <c r="C41" s="95">
        <v>400000</v>
      </c>
      <c r="D41" s="231" t="s">
        <v>268</v>
      </c>
      <c r="E41" t="s">
        <v>333</v>
      </c>
    </row>
    <row r="42" spans="2:5" x14ac:dyDescent="0.45">
      <c r="B42" t="s">
        <v>226</v>
      </c>
      <c r="C42" s="95">
        <v>35000</v>
      </c>
      <c r="D42" s="231" t="s">
        <v>279</v>
      </c>
      <c r="E42" t="s">
        <v>237</v>
      </c>
    </row>
    <row r="43" spans="2:5" x14ac:dyDescent="0.45">
      <c r="B43" t="s">
        <v>226</v>
      </c>
      <c r="C43" s="95">
        <f>30000</f>
        <v>30000</v>
      </c>
      <c r="D43" s="231" t="s">
        <v>286</v>
      </c>
      <c r="E43" t="s">
        <v>299</v>
      </c>
    </row>
    <row r="44" spans="2:5" x14ac:dyDescent="0.45">
      <c r="B44" t="s">
        <v>108</v>
      </c>
      <c r="C44" s="95">
        <f>200000*0.25</f>
        <v>50000</v>
      </c>
      <c r="D44" s="231" t="s">
        <v>276</v>
      </c>
      <c r="E44" t="s">
        <v>387</v>
      </c>
    </row>
    <row r="45" spans="2:5" x14ac:dyDescent="0.45">
      <c r="B45" t="s">
        <v>40</v>
      </c>
      <c r="C45" s="116">
        <f>500000/2</f>
        <v>250000</v>
      </c>
      <c r="D45" s="229" t="s">
        <v>256</v>
      </c>
      <c r="E45" t="s">
        <v>224</v>
      </c>
    </row>
    <row r="46" spans="2:5" x14ac:dyDescent="0.45">
      <c r="B46" t="s">
        <v>40</v>
      </c>
      <c r="C46" s="116">
        <f>200000*2</f>
        <v>400000</v>
      </c>
      <c r="D46" s="229" t="s">
        <v>276</v>
      </c>
      <c r="E46" t="s">
        <v>359</v>
      </c>
    </row>
    <row r="47" spans="2:5" x14ac:dyDescent="0.45">
      <c r="B47" t="s">
        <v>117</v>
      </c>
      <c r="C47" s="116">
        <f t="shared" ref="C47:C50" si="0">500000/2</f>
        <v>250000</v>
      </c>
      <c r="D47" s="229" t="s">
        <v>256</v>
      </c>
      <c r="E47" t="s">
        <v>224</v>
      </c>
    </row>
    <row r="48" spans="2:5" x14ac:dyDescent="0.45">
      <c r="B48" t="s">
        <v>45</v>
      </c>
      <c r="C48" s="116">
        <f t="shared" si="0"/>
        <v>250000</v>
      </c>
      <c r="D48" s="229" t="s">
        <v>256</v>
      </c>
      <c r="E48" t="s">
        <v>224</v>
      </c>
    </row>
    <row r="49" spans="1:6" x14ac:dyDescent="0.45">
      <c r="B49" t="s">
        <v>45</v>
      </c>
      <c r="C49" s="116">
        <f>200000*2</f>
        <v>400000</v>
      </c>
      <c r="D49" s="229" t="s">
        <v>276</v>
      </c>
      <c r="E49" t="s">
        <v>360</v>
      </c>
    </row>
    <row r="50" spans="1:6" x14ac:dyDescent="0.45">
      <c r="B50" t="s">
        <v>129</v>
      </c>
      <c r="C50" s="116">
        <f t="shared" si="0"/>
        <v>250000</v>
      </c>
      <c r="D50" s="229" t="s">
        <v>256</v>
      </c>
      <c r="E50" t="s">
        <v>224</v>
      </c>
    </row>
    <row r="51" spans="1:6" ht="14.65" thickBot="1" x14ac:dyDescent="0.5">
      <c r="C51" s="118">
        <f>SUM(C20:C50)</f>
        <v>4921000</v>
      </c>
      <c r="D51" s="161"/>
      <c r="E51" s="112"/>
    </row>
    <row r="52" spans="1:6" ht="14.65" thickTop="1" x14ac:dyDescent="0.45">
      <c r="C52" s="108"/>
      <c r="D52" s="108"/>
      <c r="F52" s="112"/>
    </row>
    <row r="53" spans="1:6" x14ac:dyDescent="0.45">
      <c r="A53" s="108"/>
      <c r="E53" s="110"/>
    </row>
    <row r="54" spans="1:6" x14ac:dyDescent="0.45">
      <c r="A54" s="108"/>
      <c r="E54" s="110"/>
    </row>
  </sheetData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B8C11-AC3A-409B-836D-FD2561C4780E}">
  <sheetPr>
    <pageSetUpPr fitToPage="1"/>
  </sheetPr>
  <dimension ref="A1:S38"/>
  <sheetViews>
    <sheetView zoomScaleNormal="70" workbookViewId="0"/>
  </sheetViews>
  <sheetFormatPr defaultRowHeight="14.25" x14ac:dyDescent="0.45"/>
  <cols>
    <col min="1" max="1" width="8.86328125" style="42" customWidth="1"/>
    <col min="2" max="2" width="71.265625" customWidth="1"/>
    <col min="3" max="3" width="14.265625" style="150" bestFit="1" customWidth="1"/>
    <col min="4" max="4" width="0.86328125" style="150" customWidth="1"/>
    <col min="5" max="5" width="12.59765625" style="150" bestFit="1" customWidth="1"/>
    <col min="6" max="6" width="0.86328125" style="150" customWidth="1"/>
    <col min="7" max="7" width="13.73046875" style="150" customWidth="1"/>
    <col min="8" max="8" width="0.86328125" style="157" customWidth="1"/>
    <col min="9" max="9" width="12.59765625" style="150" bestFit="1" customWidth="1"/>
    <col min="10" max="10" width="0.86328125" style="150" customWidth="1"/>
    <col min="11" max="11" width="12" style="150" bestFit="1" customWidth="1"/>
    <col min="12" max="12" width="0.86328125" style="150" customWidth="1"/>
    <col min="13" max="13" width="12.59765625" style="150" bestFit="1" customWidth="1"/>
    <col min="14" max="14" width="1" style="150" customWidth="1"/>
    <col min="15" max="15" width="16.265625" style="150" customWidth="1"/>
    <col min="16" max="16" width="0.86328125" style="150" customWidth="1"/>
    <col min="17" max="17" width="12.59765625" style="150" bestFit="1" customWidth="1"/>
    <col min="18" max="18" width="0.86328125" customWidth="1"/>
    <col min="19" max="19" width="91.265625" bestFit="1" customWidth="1"/>
  </cols>
  <sheetData>
    <row r="1" spans="1:19" ht="57" customHeight="1" x14ac:dyDescent="0.45">
      <c r="A1" s="144" t="s">
        <v>246</v>
      </c>
      <c r="B1" s="163" t="s">
        <v>367</v>
      </c>
      <c r="C1" s="228" t="s">
        <v>368</v>
      </c>
      <c r="D1" s="164"/>
      <c r="E1" s="164" t="s">
        <v>247</v>
      </c>
      <c r="F1" s="164"/>
      <c r="G1" s="164"/>
      <c r="H1" s="164"/>
      <c r="I1" s="164"/>
      <c r="J1" s="165"/>
      <c r="K1" s="164"/>
      <c r="L1" s="164"/>
      <c r="M1" s="164"/>
      <c r="N1" s="164"/>
      <c r="O1" s="164"/>
      <c r="P1" s="164"/>
      <c r="Q1" s="164"/>
    </row>
    <row r="3" spans="1:19" ht="30" customHeight="1" x14ac:dyDescent="0.45">
      <c r="C3" s="262" t="s">
        <v>54</v>
      </c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</row>
    <row r="4" spans="1:19" s="38" customFormat="1" ht="30" customHeight="1" x14ac:dyDescent="0.45">
      <c r="A4" s="235" t="s">
        <v>53</v>
      </c>
      <c r="B4" s="235"/>
      <c r="C4" s="151"/>
      <c r="D4" s="151"/>
      <c r="E4" s="261" t="s">
        <v>55</v>
      </c>
      <c r="F4" s="152"/>
      <c r="G4" s="261" t="s">
        <v>56</v>
      </c>
      <c r="H4" s="261"/>
      <c r="I4" s="261"/>
      <c r="J4" s="261"/>
      <c r="K4" s="261"/>
      <c r="L4" s="152"/>
      <c r="M4" s="261" t="s">
        <v>57</v>
      </c>
      <c r="N4" s="261"/>
      <c r="O4" s="261"/>
      <c r="P4" s="261"/>
      <c r="Q4" s="261"/>
      <c r="R4" s="124"/>
      <c r="S4" s="124" t="s">
        <v>58</v>
      </c>
    </row>
    <row r="5" spans="1:19" s="38" customFormat="1" ht="42.75" customHeight="1" x14ac:dyDescent="0.45">
      <c r="A5" s="43" t="s">
        <v>59</v>
      </c>
      <c r="B5" s="38" t="s">
        <v>21</v>
      </c>
      <c r="C5" s="151" t="s">
        <v>20</v>
      </c>
      <c r="D5" s="151"/>
      <c r="E5" s="261"/>
      <c r="F5" s="152"/>
      <c r="G5" s="152" t="s">
        <v>60</v>
      </c>
      <c r="H5" s="153"/>
      <c r="I5" s="152" t="s">
        <v>61</v>
      </c>
      <c r="J5" s="152"/>
      <c r="K5" s="152" t="s">
        <v>62</v>
      </c>
      <c r="L5" s="152"/>
      <c r="M5" s="152" t="s">
        <v>315</v>
      </c>
      <c r="N5" s="152"/>
      <c r="O5" s="152" t="s">
        <v>244</v>
      </c>
      <c r="P5" s="152"/>
      <c r="Q5" s="152" t="s">
        <v>245</v>
      </c>
      <c r="R5" s="124"/>
    </row>
    <row r="6" spans="1:19" x14ac:dyDescent="0.45">
      <c r="A6" s="42" t="str">
        <f>+'Ex.2 Assumptions'!B20</f>
        <v>7/31/X0</v>
      </c>
      <c r="B6" t="str">
        <f>+'Ex.2 Assumptions'!E20</f>
        <v>GFOA Phase 1 consulting: Project management initiation</v>
      </c>
      <c r="C6" s="159">
        <f>+'Ex.2 Assumptions'!C20</f>
        <v>15000</v>
      </c>
      <c r="E6" s="107">
        <f>+C6</f>
        <v>15000</v>
      </c>
      <c r="F6" s="107"/>
      <c r="G6" s="107"/>
      <c r="H6" s="154"/>
      <c r="I6" s="107"/>
      <c r="J6" s="107"/>
      <c r="K6" s="107"/>
      <c r="L6" s="107"/>
      <c r="M6" s="107"/>
      <c r="N6" s="107"/>
      <c r="O6" s="107"/>
      <c r="P6" s="107"/>
      <c r="Q6" s="107"/>
    </row>
    <row r="7" spans="1:19" x14ac:dyDescent="0.45">
      <c r="A7" s="42" t="str">
        <f>+'Ex.2 Assumptions'!B21</f>
        <v>7/31/X0</v>
      </c>
      <c r="B7" t="str">
        <f>+'Ex.2 Assumptions'!E21</f>
        <v>GFOA Phase 1 consulting: Assessment of current process</v>
      </c>
      <c r="C7" s="159">
        <f>+'Ex.2 Assumptions'!C21</f>
        <v>40000</v>
      </c>
      <c r="E7" s="107">
        <f t="shared" ref="E7:E13" si="0">+C7</f>
        <v>40000</v>
      </c>
      <c r="F7" s="107"/>
      <c r="G7" s="107"/>
      <c r="H7" s="154"/>
      <c r="I7" s="107"/>
      <c r="J7" s="107"/>
      <c r="K7" s="107"/>
      <c r="L7" s="107"/>
      <c r="M7" s="107"/>
      <c r="N7" s="107"/>
      <c r="O7" s="107"/>
      <c r="P7" s="107"/>
      <c r="Q7" s="107"/>
    </row>
    <row r="8" spans="1:19" x14ac:dyDescent="0.45">
      <c r="A8" s="42" t="str">
        <f>+'Ex.2 Assumptions'!B22</f>
        <v>8/31/X0</v>
      </c>
      <c r="B8" t="str">
        <f>+'Ex.2 Assumptions'!E22</f>
        <v>GFOA Phase 1 consulting: Future process determination</v>
      </c>
      <c r="C8" s="159">
        <f>+'Ex.2 Assumptions'!C22</f>
        <v>45000</v>
      </c>
      <c r="E8" s="107">
        <f t="shared" si="0"/>
        <v>45000</v>
      </c>
      <c r="F8" s="107"/>
      <c r="G8" s="107"/>
      <c r="H8" s="155"/>
      <c r="J8" s="107"/>
      <c r="K8" s="107"/>
      <c r="L8" s="107"/>
      <c r="M8" s="107"/>
      <c r="N8" s="107"/>
      <c r="O8" s="107"/>
      <c r="P8" s="107"/>
      <c r="Q8" s="107"/>
      <c r="S8" s="149"/>
    </row>
    <row r="9" spans="1:19" ht="14.25" customHeight="1" x14ac:dyDescent="0.45">
      <c r="A9" s="42" t="str">
        <f>+'Ex.2 Assumptions'!B23</f>
        <v>9/30/X0</v>
      </c>
      <c r="B9" t="str">
        <f>+'Ex.2 Assumptions'!E23</f>
        <v>GFOA Phase 1 consulting: Procurement strategy</v>
      </c>
      <c r="C9" s="159">
        <f>+'Ex.2 Assumptions'!C23</f>
        <v>10000</v>
      </c>
      <c r="E9" s="107">
        <f t="shared" si="0"/>
        <v>10000</v>
      </c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</row>
    <row r="10" spans="1:19" x14ac:dyDescent="0.45">
      <c r="A10" s="42" t="str">
        <f>+'Ex.2 Assumptions'!B24</f>
        <v>10/31/X0</v>
      </c>
      <c r="B10" t="str">
        <f>+'Ex.2 Assumptions'!E24</f>
        <v>GFOA Phase 1 consulting: RFP preparation</v>
      </c>
      <c r="C10" s="159">
        <f>+'Ex.2 Assumptions'!C24</f>
        <v>20000</v>
      </c>
      <c r="E10" s="107">
        <f t="shared" si="0"/>
        <v>20000</v>
      </c>
      <c r="F10" s="107"/>
      <c r="G10" s="107"/>
      <c r="H10" s="154"/>
      <c r="I10" s="107"/>
      <c r="J10" s="107"/>
      <c r="K10" s="107"/>
      <c r="L10" s="107"/>
      <c r="M10" s="107"/>
      <c r="N10" s="107"/>
      <c r="O10" s="107"/>
      <c r="P10" s="107"/>
      <c r="Q10" s="107"/>
    </row>
    <row r="11" spans="1:19" x14ac:dyDescent="0.45">
      <c r="A11" s="42" t="str">
        <f>+'Ex.2 Assumptions'!B25</f>
        <v>11/30/X0</v>
      </c>
      <c r="B11" t="str">
        <f>+'Ex.2 Assumptions'!E25</f>
        <v>GFOA Phase 1 consulting: Vendor selection support</v>
      </c>
      <c r="C11" s="159">
        <f>+'Ex.2 Assumptions'!C25</f>
        <v>50000</v>
      </c>
      <c r="E11" s="107">
        <f t="shared" si="0"/>
        <v>50000</v>
      </c>
      <c r="F11" s="107"/>
      <c r="G11" s="107"/>
      <c r="H11" s="154"/>
      <c r="I11" s="107"/>
      <c r="J11" s="107"/>
      <c r="K11" s="107"/>
      <c r="L11" s="107"/>
      <c r="M11" s="107"/>
      <c r="N11" s="107"/>
      <c r="O11" s="107"/>
      <c r="P11" s="107"/>
      <c r="Q11" s="107"/>
    </row>
    <row r="12" spans="1:19" x14ac:dyDescent="0.45">
      <c r="A12" s="42" t="str">
        <f>+'Ex.2 Assumptions'!B26</f>
        <v>12/31/X0</v>
      </c>
      <c r="B12" t="str">
        <f>+'Ex.2 Assumptions'!E26</f>
        <v>GFOA Phase 1 consulting: Contract negotiation support</v>
      </c>
      <c r="C12" s="159">
        <f>+'Ex.2 Assumptions'!C26</f>
        <v>16000</v>
      </c>
      <c r="E12" s="107">
        <f t="shared" si="0"/>
        <v>16000</v>
      </c>
      <c r="F12" s="107"/>
      <c r="G12" s="107"/>
      <c r="H12" s="154"/>
      <c r="I12" s="107"/>
      <c r="J12" s="107"/>
      <c r="K12" s="107"/>
      <c r="L12" s="107"/>
      <c r="M12" s="107"/>
      <c r="N12" s="107"/>
      <c r="O12" s="107"/>
      <c r="P12" s="107"/>
      <c r="Q12" s="107"/>
    </row>
    <row r="13" spans="1:19" ht="28.9" thickBot="1" x14ac:dyDescent="0.5">
      <c r="A13" s="173" t="str">
        <f>+'Ex.2 Assumptions'!B27</f>
        <v>7/1-12/31/X0</v>
      </c>
      <c r="B13" s="174" t="str">
        <f>+'Ex.2 Assumptions'!E27</f>
        <v>County employee work on preliminary project work</v>
      </c>
      <c r="C13" s="175">
        <f>+'Ex.2 Assumptions'!C27</f>
        <v>50000</v>
      </c>
      <c r="D13" s="176"/>
      <c r="E13" s="176">
        <f t="shared" si="0"/>
        <v>50000</v>
      </c>
      <c r="F13" s="176"/>
      <c r="G13" s="176"/>
      <c r="H13" s="177"/>
      <c r="I13" s="176"/>
      <c r="J13" s="176"/>
      <c r="K13" s="176"/>
      <c r="L13" s="176"/>
      <c r="M13" s="176"/>
      <c r="N13" s="176"/>
      <c r="O13" s="176"/>
      <c r="P13" s="176"/>
      <c r="Q13" s="176"/>
    </row>
    <row r="14" spans="1:19" x14ac:dyDescent="0.45">
      <c r="A14" s="42" t="str">
        <f>+'Ex.2 Assumptions'!B28</f>
        <v>1/1/X1</v>
      </c>
      <c r="B14" t="str">
        <f>+'Ex.2 Assumptions'!E28</f>
        <v>Semiannual payment to PERP for right to use cloud-based software and related hardware</v>
      </c>
      <c r="C14" s="159">
        <f>+'Ex.2 Assumptions'!C28</f>
        <v>250000</v>
      </c>
      <c r="F14" s="107"/>
      <c r="G14" s="107">
        <f>+C14</f>
        <v>250000</v>
      </c>
      <c r="H14" s="154"/>
      <c r="I14" s="107"/>
      <c r="J14" s="107"/>
      <c r="K14" s="107"/>
      <c r="L14" s="107"/>
      <c r="M14" s="107"/>
      <c r="N14" s="107"/>
      <c r="O14" s="107"/>
      <c r="P14" s="107"/>
      <c r="Q14" s="107"/>
    </row>
    <row r="15" spans="1:19" x14ac:dyDescent="0.45">
      <c r="A15" s="42" t="str">
        <f>+'Ex.2 Assumptions'!B29</f>
        <v>1/1/X1</v>
      </c>
      <c r="B15" t="str">
        <f>+'Ex.2 Assumptions'!E29</f>
        <v>1st installment payment to SLEEPS for implementation of GL module</v>
      </c>
      <c r="C15" s="159">
        <f>+'Ex.2 Assumptions'!C29</f>
        <v>300000</v>
      </c>
      <c r="D15" s="156"/>
      <c r="E15" s="107"/>
      <c r="F15" s="107"/>
      <c r="G15" s="107"/>
      <c r="H15" s="154"/>
      <c r="I15" s="2">
        <f>+C15</f>
        <v>300000</v>
      </c>
      <c r="J15" s="107"/>
      <c r="K15" s="107"/>
      <c r="L15" s="107"/>
      <c r="M15" s="107"/>
      <c r="N15" s="107"/>
      <c r="O15" s="107"/>
      <c r="P15" s="107"/>
      <c r="Q15" s="107"/>
    </row>
    <row r="16" spans="1:19" x14ac:dyDescent="0.45">
      <c r="A16" s="178" t="str">
        <f>+'Ex.2 Assumptions'!B30</f>
        <v>1/31/X1</v>
      </c>
      <c r="B16" s="179" t="str">
        <f>+'Ex.2 Assumptions'!E30</f>
        <v>County employee work on system GL module implementation</v>
      </c>
      <c r="C16" s="180">
        <f>+'Ex.2 Assumptions'!C30</f>
        <v>40000</v>
      </c>
      <c r="D16" s="181"/>
      <c r="E16" s="181"/>
      <c r="F16" s="181"/>
      <c r="G16" s="181"/>
      <c r="H16" s="182"/>
      <c r="I16" s="194">
        <f>+C16</f>
        <v>40000</v>
      </c>
      <c r="J16" s="181"/>
      <c r="K16" s="181"/>
      <c r="L16" s="181"/>
      <c r="M16" s="181"/>
      <c r="N16" s="181"/>
      <c r="O16" s="181"/>
      <c r="P16" s="181"/>
      <c r="Q16" s="181"/>
    </row>
    <row r="17" spans="1:19" x14ac:dyDescent="0.45">
      <c r="A17" s="42" t="str">
        <f>+'Ex.2 Assumptions'!B31</f>
        <v>5/1/X1</v>
      </c>
      <c r="B17" t="str">
        <f>+'Ex.2 Assumptions'!E31</f>
        <v>2nd installment payment to SLEEPS for implementation of GL module</v>
      </c>
      <c r="C17" s="159">
        <f>+'Ex.2 Assumptions'!C31</f>
        <v>300000</v>
      </c>
      <c r="E17" s="107"/>
      <c r="F17" s="107"/>
      <c r="G17" s="107"/>
      <c r="H17" s="154"/>
      <c r="I17" s="2">
        <f>+C17</f>
        <v>300000</v>
      </c>
      <c r="J17" s="107"/>
      <c r="K17" s="107"/>
      <c r="L17" s="107"/>
      <c r="M17" s="107"/>
      <c r="N17" s="107"/>
      <c r="O17" s="107"/>
      <c r="P17" s="107"/>
      <c r="Q17" s="107"/>
    </row>
    <row r="18" spans="1:19" x14ac:dyDescent="0.45">
      <c r="A18" s="42" t="str">
        <f>+'Ex.2 Assumptions'!B32</f>
        <v>6/30/X1</v>
      </c>
      <c r="B18" t="str">
        <f>+'Ex.2 Assumptions'!E32</f>
        <v>3rd installment payment to SLEEPS for GL module implementation ($180,000 data conversion and training)</v>
      </c>
      <c r="C18" s="159">
        <f>+'Ex.2 Assumptions'!C32</f>
        <v>400000</v>
      </c>
      <c r="E18" s="107"/>
      <c r="F18" s="107"/>
      <c r="G18" s="107"/>
      <c r="H18" s="154"/>
      <c r="I18" s="3">
        <f>+C18-K18</f>
        <v>220000</v>
      </c>
      <c r="J18" s="107"/>
      <c r="K18" s="107">
        <v>180000</v>
      </c>
      <c r="L18" s="107"/>
      <c r="M18" s="107"/>
      <c r="N18" s="107"/>
      <c r="O18" s="107"/>
      <c r="P18" s="107"/>
      <c r="Q18" s="107"/>
      <c r="S18" t="s">
        <v>287</v>
      </c>
    </row>
    <row r="19" spans="1:19" x14ac:dyDescent="0.45">
      <c r="A19" s="42" t="str">
        <f>+'Ex.2 Assumptions'!B33</f>
        <v>6/30/X1</v>
      </c>
      <c r="B19" t="str">
        <f>+'Ex.2 Assumptions'!E33</f>
        <v>County employee work on system GL module implementation ($12,000 data conversion and training)</v>
      </c>
      <c r="C19" s="159">
        <f>+'Ex.2 Assumptions'!C33</f>
        <v>20000</v>
      </c>
      <c r="E19" s="107"/>
      <c r="F19" s="107"/>
      <c r="G19" s="107"/>
      <c r="H19" s="154"/>
      <c r="I19" s="2">
        <f>+C19-K19</f>
        <v>8000</v>
      </c>
      <c r="J19" s="107"/>
      <c r="K19" s="107">
        <v>12000</v>
      </c>
      <c r="L19" s="107"/>
      <c r="M19" s="107"/>
      <c r="N19" s="107"/>
      <c r="O19" s="107"/>
      <c r="P19" s="107"/>
      <c r="Q19" s="107"/>
      <c r="S19" t="s">
        <v>287</v>
      </c>
    </row>
    <row r="20" spans="1:19" ht="14.65" thickBot="1" x14ac:dyDescent="0.5">
      <c r="A20" s="173" t="str">
        <f>+'Ex.2 Assumptions'!B34</f>
        <v>6/30/X1</v>
      </c>
      <c r="B20" s="174" t="str">
        <f>+'Ex.2 Assumptions'!E34</f>
        <v>GFOA Phase 2 consulting: implementation assistance for GL module ($5,000 data conversion); payable 7/31</v>
      </c>
      <c r="C20" s="175">
        <f>+'Ex.2 Assumptions'!C34</f>
        <v>30000</v>
      </c>
      <c r="D20" s="176"/>
      <c r="E20" s="176"/>
      <c r="F20" s="176"/>
      <c r="G20" s="176"/>
      <c r="H20" s="177"/>
      <c r="I20" s="195">
        <f>+C20-K20</f>
        <v>25000</v>
      </c>
      <c r="J20" s="176"/>
      <c r="K20" s="176">
        <v>5000</v>
      </c>
      <c r="L20" s="176"/>
      <c r="M20" s="176"/>
      <c r="N20" s="176"/>
      <c r="O20" s="176"/>
      <c r="P20" s="176"/>
      <c r="Q20" s="176"/>
      <c r="S20" t="s">
        <v>287</v>
      </c>
    </row>
    <row r="21" spans="1:19" x14ac:dyDescent="0.45">
      <c r="A21" s="42" t="str">
        <f>+'Ex.2 Assumptions'!B35</f>
        <v>7/1/X1</v>
      </c>
      <c r="B21" t="str">
        <f>+'Ex.2 Assumptions'!E35</f>
        <v>Semiannual payment to PERP for right to use cloud-based software and related hardware</v>
      </c>
      <c r="C21" s="229">
        <f>+'Ex.2 Assumptions'!C35</f>
        <v>250000</v>
      </c>
      <c r="E21" s="107"/>
      <c r="F21" s="107"/>
      <c r="G21" s="107"/>
      <c r="H21" s="154"/>
      <c r="L21" s="107"/>
      <c r="M21" s="107">
        <f>+C21</f>
        <v>250000</v>
      </c>
      <c r="N21" s="107"/>
      <c r="O21" s="107"/>
      <c r="P21" s="107"/>
      <c r="Q21" s="107"/>
    </row>
    <row r="22" spans="1:19" x14ac:dyDescent="0.45">
      <c r="A22" s="42" t="str">
        <f>+'Ex.2 Assumptions'!B36</f>
        <v>7/1/X1</v>
      </c>
      <c r="B22" t="str">
        <f>+'Ex.2 Assumptions'!E36</f>
        <v>1st installment payment to SLEEPS for implementation of AP module</v>
      </c>
      <c r="C22" s="229">
        <f>+'Ex.2 Assumptions'!C36</f>
        <v>300000</v>
      </c>
      <c r="E22" s="107"/>
      <c r="F22" s="107"/>
      <c r="G22" s="107"/>
      <c r="H22" s="154"/>
      <c r="L22" s="107"/>
      <c r="M22" s="107"/>
      <c r="N22" s="107"/>
      <c r="O22" s="2">
        <f>+C22</f>
        <v>300000</v>
      </c>
      <c r="P22" s="107"/>
      <c r="Q22" s="107"/>
      <c r="S22" s="33"/>
    </row>
    <row r="23" spans="1:19" x14ac:dyDescent="0.45">
      <c r="A23" s="42" t="str">
        <f>+'Ex.2 Assumptions'!B37</f>
        <v>7/1/X1</v>
      </c>
      <c r="B23" t="str">
        <f>+'Ex.2 Assumptions'!E37</f>
        <v>SLEEPs annual support (1 module for 6 months of 20X1)</v>
      </c>
      <c r="C23" s="229">
        <f>+'Ex.2 Assumptions'!C37</f>
        <v>100000</v>
      </c>
      <c r="E23" s="107"/>
      <c r="F23" s="107"/>
      <c r="G23" s="107"/>
      <c r="H23" s="154"/>
      <c r="L23" s="107"/>
      <c r="M23" s="107"/>
      <c r="N23" s="107"/>
      <c r="O23" s="2"/>
      <c r="P23" s="107"/>
      <c r="Q23" s="107">
        <f>+C23</f>
        <v>100000</v>
      </c>
    </row>
    <row r="24" spans="1:19" x14ac:dyDescent="0.45">
      <c r="A24" s="42" t="str">
        <f>+'Ex.2 Assumptions'!B38</f>
        <v>7/31/X1</v>
      </c>
      <c r="B24" t="str">
        <f>+'Ex.2 Assumptions'!E38</f>
        <v>County employee work on system AP module implementation</v>
      </c>
      <c r="C24" s="229">
        <f>+'Ex.2 Assumptions'!C38</f>
        <v>35000</v>
      </c>
      <c r="E24" s="107"/>
      <c r="F24" s="107"/>
      <c r="G24" s="107"/>
      <c r="H24" s="154"/>
      <c r="L24" s="107"/>
      <c r="M24" s="107"/>
      <c r="N24" s="107"/>
      <c r="O24" s="2">
        <f>+C24</f>
        <v>35000</v>
      </c>
      <c r="P24" s="107"/>
      <c r="Q24" s="107"/>
    </row>
    <row r="25" spans="1:19" x14ac:dyDescent="0.45">
      <c r="A25" s="42" t="str">
        <f>+'Ex.2 Assumptions'!B39</f>
        <v>8/1/X1</v>
      </c>
      <c r="B25" t="str">
        <f>+'Ex.2 Assumptions'!E39</f>
        <v>2nd installment payment to SLEEPS for implementation of A/P module</v>
      </c>
      <c r="C25" s="229">
        <f>+'Ex.2 Assumptions'!C39</f>
        <v>300000</v>
      </c>
      <c r="E25" s="107"/>
      <c r="F25" s="107"/>
      <c r="G25" s="107"/>
      <c r="H25" s="154"/>
      <c r="L25" s="107"/>
      <c r="M25" s="107"/>
      <c r="N25" s="107"/>
      <c r="O25" s="2">
        <f>+C25</f>
        <v>300000</v>
      </c>
      <c r="P25" s="107"/>
      <c r="Q25" s="107"/>
    </row>
    <row r="26" spans="1:19" x14ac:dyDescent="0.45">
      <c r="A26" s="42" t="str">
        <f>+'Ex.2 Assumptions'!B40</f>
        <v>8/31/X1</v>
      </c>
      <c r="B26" t="str">
        <f>+'Ex.2 Assumptions'!E40</f>
        <v>County employee work on system AP module implementation</v>
      </c>
      <c r="C26" s="229">
        <f>+'Ex.2 Assumptions'!C40</f>
        <v>35000</v>
      </c>
      <c r="E26" s="107"/>
      <c r="F26" s="107"/>
      <c r="G26" s="107"/>
      <c r="H26" s="154"/>
      <c r="L26" s="107"/>
      <c r="M26" s="107"/>
      <c r="N26" s="107"/>
      <c r="O26" s="2">
        <f>+C26</f>
        <v>35000</v>
      </c>
      <c r="P26" s="107"/>
      <c r="Q26" s="107"/>
    </row>
    <row r="27" spans="1:19" x14ac:dyDescent="0.45">
      <c r="A27" s="42" t="str">
        <f>+'Ex.2 Assumptions'!B41</f>
        <v>9/30/X1</v>
      </c>
      <c r="B27" t="str">
        <f>+'Ex.2 Assumptions'!E41</f>
        <v>3rd installment payment to SLEEPS for implementation of AP module ($180,000 data conversion and training)</v>
      </c>
      <c r="C27" s="229">
        <f>+'Ex.2 Assumptions'!C41</f>
        <v>400000</v>
      </c>
      <c r="E27" s="107"/>
      <c r="F27" s="107"/>
      <c r="G27" s="107"/>
      <c r="H27" s="154"/>
      <c r="L27" s="107"/>
      <c r="M27" s="107"/>
      <c r="N27" s="107"/>
      <c r="O27" s="2">
        <f>+C27-Q27</f>
        <v>220000</v>
      </c>
      <c r="P27" s="107"/>
      <c r="Q27" s="107">
        <v>180000</v>
      </c>
      <c r="S27" t="s">
        <v>287</v>
      </c>
    </row>
    <row r="28" spans="1:19" x14ac:dyDescent="0.45">
      <c r="A28" s="42" t="str">
        <f>+'Ex.2 Assumptions'!B42</f>
        <v>9/30/X1</v>
      </c>
      <c r="B28" t="str">
        <f>+'Ex.2 Assumptions'!E42</f>
        <v>County employee work on system AP module implementation ($8,000 data conversion and training)</v>
      </c>
      <c r="C28" s="229">
        <f>+'Ex.2 Assumptions'!C42</f>
        <v>35000</v>
      </c>
      <c r="E28" s="107"/>
      <c r="F28" s="107"/>
      <c r="G28" s="107"/>
      <c r="H28" s="154"/>
      <c r="L28" s="107"/>
      <c r="M28" s="107"/>
      <c r="N28" s="107"/>
      <c r="O28" s="2">
        <f>+C28-Q28</f>
        <v>27000</v>
      </c>
      <c r="P28" s="107"/>
      <c r="Q28" s="107">
        <v>8000</v>
      </c>
      <c r="S28" t="s">
        <v>287</v>
      </c>
    </row>
    <row r="29" spans="1:19" x14ac:dyDescent="0.45">
      <c r="A29" s="42" t="str">
        <f>+'Ex.2 Assumptions'!B43</f>
        <v>9/30/X1</v>
      </c>
      <c r="B29" t="str">
        <f>+'Ex.2 Assumptions'!E43</f>
        <v>GFOA Phase 2 consulting: implementation assistance for AP module ($5,000 data conversion); payable 10/31</v>
      </c>
      <c r="C29" s="229">
        <f>+'Ex.2 Assumptions'!C43</f>
        <v>30000</v>
      </c>
      <c r="E29" s="107"/>
      <c r="F29" s="107"/>
      <c r="G29" s="107"/>
      <c r="H29" s="154"/>
      <c r="L29" s="107"/>
      <c r="M29" s="107"/>
      <c r="N29" s="107"/>
      <c r="O29" s="2">
        <f>+C29-Q29</f>
        <v>25000</v>
      </c>
      <c r="P29" s="107"/>
      <c r="Q29" s="107">
        <v>5000</v>
      </c>
    </row>
    <row r="30" spans="1:19" x14ac:dyDescent="0.45">
      <c r="A30" s="42" t="str">
        <f>+'Ex.2 Assumptions'!B44</f>
        <v>10/1/X1</v>
      </c>
      <c r="B30" t="str">
        <f>+'Ex.2 Assumptions'!E44</f>
        <v>SLEEPs annual support (additional module for three months of 20X1)</v>
      </c>
      <c r="C30" s="229">
        <f>+'Ex.2 Assumptions'!C44</f>
        <v>50000</v>
      </c>
      <c r="E30" s="107"/>
      <c r="F30" s="107"/>
      <c r="G30" s="107"/>
      <c r="H30" s="154"/>
      <c r="L30" s="107"/>
      <c r="M30" s="107"/>
      <c r="N30" s="107"/>
      <c r="O30" s="2"/>
      <c r="P30" s="107"/>
      <c r="Q30" s="107">
        <f>+C30</f>
        <v>50000</v>
      </c>
    </row>
    <row r="31" spans="1:19" x14ac:dyDescent="0.45">
      <c r="A31" s="42" t="str">
        <f>+'Ex.2 Assumptions'!B45</f>
        <v>1/1/X2</v>
      </c>
      <c r="B31" t="str">
        <f>+'Ex.2 Assumptions'!E45</f>
        <v>Semiannual payment to PERP for right to use cloud-based software and related hardware</v>
      </c>
      <c r="C31" s="229">
        <f>+'Ex.2 Assumptions'!C45</f>
        <v>250000</v>
      </c>
      <c r="M31" s="150">
        <f>+C31</f>
        <v>250000</v>
      </c>
    </row>
    <row r="32" spans="1:19" x14ac:dyDescent="0.45">
      <c r="A32" s="42" t="str">
        <f>+'Ex.2 Assumptions'!B46</f>
        <v>1/1/X2</v>
      </c>
      <c r="B32" t="str">
        <f>+'Ex.2 Assumptions'!E46</f>
        <v>SLEEPs annual support (2 modules for 20X2)</v>
      </c>
      <c r="C32" s="229">
        <f>+'Ex.2 Assumptions'!C46</f>
        <v>400000</v>
      </c>
      <c r="Q32" s="150">
        <f>+C32</f>
        <v>400000</v>
      </c>
    </row>
    <row r="33" spans="1:17" x14ac:dyDescent="0.45">
      <c r="A33" s="42" t="str">
        <f>+'Ex.2 Assumptions'!B47</f>
        <v>7/1/X2</v>
      </c>
      <c r="B33" t="str">
        <f>+'Ex.2 Assumptions'!E47</f>
        <v>Semiannual payment to PERP for right to use cloud-based software and related hardware</v>
      </c>
      <c r="C33" s="229">
        <f>+'Ex.2 Assumptions'!C47</f>
        <v>250000</v>
      </c>
      <c r="M33" s="150">
        <f>+C33</f>
        <v>250000</v>
      </c>
    </row>
    <row r="34" spans="1:17" x14ac:dyDescent="0.45">
      <c r="A34" s="42" t="str">
        <f>+'Ex.2 Assumptions'!B48</f>
        <v>1/1/X3</v>
      </c>
      <c r="B34" t="str">
        <f>+'Ex.2 Assumptions'!E48</f>
        <v>Semiannual payment to PERP for right to use cloud-based software and related hardware</v>
      </c>
      <c r="C34" s="229">
        <f>+'Ex.2 Assumptions'!C48</f>
        <v>250000</v>
      </c>
      <c r="M34" s="150">
        <f>+C34</f>
        <v>250000</v>
      </c>
    </row>
    <row r="35" spans="1:17" x14ac:dyDescent="0.45">
      <c r="A35" s="42" t="str">
        <f>+'Ex.2 Assumptions'!B49</f>
        <v>1/1/X3</v>
      </c>
      <c r="B35" t="str">
        <f>+'Ex.2 Assumptions'!E49</f>
        <v>SLEEPs annual support (2 modules for 20X3)</v>
      </c>
      <c r="C35" s="159">
        <f>+'Ex.2 Assumptions'!C49</f>
        <v>400000</v>
      </c>
      <c r="Q35" s="150">
        <f>+C35</f>
        <v>400000</v>
      </c>
    </row>
    <row r="36" spans="1:17" x14ac:dyDescent="0.45">
      <c r="A36" s="42" t="str">
        <f>+'Ex.2 Assumptions'!B50</f>
        <v>7/1/X3</v>
      </c>
      <c r="B36" t="str">
        <f>+'Ex.2 Assumptions'!E50</f>
        <v>Semiannual payment to PERP for right to use cloud-based software and related hardware</v>
      </c>
      <c r="C36" s="159">
        <f>+'Ex.2 Assumptions'!C50</f>
        <v>250000</v>
      </c>
      <c r="M36" s="150">
        <f>+C36</f>
        <v>250000</v>
      </c>
    </row>
    <row r="37" spans="1:17" ht="14.65" thickBot="1" x14ac:dyDescent="0.5">
      <c r="C37" s="160">
        <f>SUM(C6:C36)</f>
        <v>4921000</v>
      </c>
      <c r="E37" s="160">
        <f>SUM(E6:E36)</f>
        <v>246000</v>
      </c>
      <c r="G37" s="160">
        <f>SUM(G6:G36)</f>
        <v>250000</v>
      </c>
      <c r="I37" s="160">
        <f>SUM(I6:I36)</f>
        <v>893000</v>
      </c>
      <c r="K37" s="160">
        <f>SUM(K6:K36)</f>
        <v>197000</v>
      </c>
      <c r="M37" s="160">
        <f>SUM(M6:M36)</f>
        <v>1250000</v>
      </c>
      <c r="N37" s="160"/>
      <c r="O37" s="160">
        <f>SUM(O6:O36)</f>
        <v>942000</v>
      </c>
      <c r="P37" s="160"/>
      <c r="Q37" s="160">
        <f>SUM(Q6:Q36)</f>
        <v>1143000</v>
      </c>
    </row>
    <row r="38" spans="1:17" ht="14.65" thickTop="1" x14ac:dyDescent="0.45">
      <c r="C38" s="158">
        <f>+C37-'Ex.2 Assumptions'!C51</f>
        <v>0</v>
      </c>
      <c r="Q38" s="147">
        <f>SUM(E37:Q37)-C37</f>
        <v>0</v>
      </c>
    </row>
  </sheetData>
  <mergeCells count="5">
    <mergeCell ref="A4:B4"/>
    <mergeCell ref="E4:E5"/>
    <mergeCell ref="G4:K4"/>
    <mergeCell ref="M4:Q4"/>
    <mergeCell ref="C3:Q3"/>
  </mergeCells>
  <pageMargins left="0.7" right="0.7" top="0.75" bottom="0.75" header="0.3" footer="0.3"/>
  <pageSetup paperSize="5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D545F-62DF-41F9-8814-B2183F6B0A1A}">
  <sheetPr>
    <pageSetUpPr fitToPage="1"/>
  </sheetPr>
  <dimension ref="B1:T39"/>
  <sheetViews>
    <sheetView workbookViewId="0"/>
  </sheetViews>
  <sheetFormatPr defaultColWidth="9" defaultRowHeight="14.25" x14ac:dyDescent="0.45"/>
  <cols>
    <col min="1" max="1" width="2.1328125" customWidth="1"/>
    <col min="2" max="2" width="3" customWidth="1"/>
    <col min="3" max="3" width="8.265625" customWidth="1"/>
    <col min="4" max="4" width="15.86328125" style="5" customWidth="1"/>
    <col min="5" max="5" width="3.265625" style="5" customWidth="1"/>
    <col min="6" max="6" width="17.59765625" bestFit="1" customWidth="1"/>
    <col min="7" max="7" width="13.59765625" customWidth="1"/>
    <col min="8" max="8" width="2.73046875" customWidth="1"/>
    <col min="9" max="9" width="12" customWidth="1"/>
    <col min="10" max="10" width="11.59765625" customWidth="1"/>
    <col min="11" max="11" width="10.265625" style="3" customWidth="1"/>
    <col min="12" max="12" width="1.265625" customWidth="1"/>
    <col min="13" max="13" width="8.265625" bestFit="1" customWidth="1"/>
    <col min="14" max="14" width="30.86328125" customWidth="1"/>
    <col min="15" max="15" width="12.265625" style="3" customWidth="1"/>
    <col min="17" max="17" width="5.265625" customWidth="1"/>
    <col min="20" max="20" width="5.86328125" bestFit="1" customWidth="1"/>
  </cols>
  <sheetData>
    <row r="1" spans="2:20" x14ac:dyDescent="0.45">
      <c r="B1" s="31" t="s">
        <v>69</v>
      </c>
      <c r="C1" s="31"/>
    </row>
    <row r="2" spans="2:20" x14ac:dyDescent="0.45">
      <c r="B2" s="31"/>
      <c r="C2" s="31"/>
      <c r="I2" s="95"/>
      <c r="J2" s="95"/>
      <c r="K2" s="2"/>
      <c r="O2" s="2"/>
    </row>
    <row r="3" spans="2:20" x14ac:dyDescent="0.45">
      <c r="B3" s="144"/>
      <c r="C3" s="144"/>
      <c r="D3" s="144"/>
      <c r="E3" s="144"/>
      <c r="F3" s="144"/>
      <c r="G3" s="144"/>
      <c r="T3" s="104"/>
    </row>
    <row r="4" spans="2:20" x14ac:dyDescent="0.45">
      <c r="B4" s="31"/>
      <c r="D4" s="219" t="s">
        <v>73</v>
      </c>
      <c r="E4" s="220"/>
      <c r="F4" s="220"/>
      <c r="G4" s="220"/>
      <c r="H4" s="220"/>
      <c r="I4" s="220"/>
      <c r="J4" s="221"/>
      <c r="K4" s="216"/>
    </row>
    <row r="5" spans="2:20" ht="14.65" thickBot="1" x14ac:dyDescent="0.5">
      <c r="D5" s="222">
        <f>ROUND(NPV(G15,F17:F20),0)</f>
        <v>929275</v>
      </c>
      <c r="E5" t="s">
        <v>288</v>
      </c>
      <c r="F5" s="41"/>
      <c r="G5" s="41"/>
      <c r="K5" s="223"/>
    </row>
    <row r="6" spans="2:20" ht="14.65" thickTop="1" x14ac:dyDescent="0.45">
      <c r="B6" s="31"/>
      <c r="D6" s="127"/>
      <c r="E6"/>
      <c r="F6" s="41"/>
      <c r="G6" s="41"/>
      <c r="K6" s="223"/>
    </row>
    <row r="7" spans="2:20" x14ac:dyDescent="0.45">
      <c r="B7" s="31"/>
      <c r="D7" s="127">
        <f>+D5</f>
        <v>929275</v>
      </c>
      <c r="E7" t="s">
        <v>78</v>
      </c>
      <c r="F7" s="41"/>
      <c r="G7" s="41"/>
      <c r="K7" s="223"/>
    </row>
    <row r="8" spans="2:20" x14ac:dyDescent="0.45">
      <c r="B8" s="31"/>
      <c r="D8" s="44">
        <f>+'Ex.2 Term &amp; Cost Classification'!G14+'Ex.2 Term &amp; Cost Classification'!M21</f>
        <v>500000</v>
      </c>
      <c r="E8" t="s">
        <v>388</v>
      </c>
      <c r="F8" s="41"/>
      <c r="G8" s="41"/>
      <c r="K8" s="223"/>
    </row>
    <row r="9" spans="2:20" x14ac:dyDescent="0.45">
      <c r="B9" s="144"/>
      <c r="D9" s="224">
        <f>+'Ex.2 Term &amp; Cost Classification'!I37</f>
        <v>893000</v>
      </c>
      <c r="E9" t="s">
        <v>314</v>
      </c>
      <c r="K9" s="223"/>
    </row>
    <row r="10" spans="2:20" x14ac:dyDescent="0.45">
      <c r="B10" s="31"/>
      <c r="D10" s="225">
        <f>SUM(D7:D9)</f>
        <v>2322275</v>
      </c>
      <c r="E10" s="131" t="s">
        <v>289</v>
      </c>
      <c r="F10" s="226"/>
      <c r="G10" s="226"/>
      <c r="H10" s="132"/>
      <c r="I10" s="132"/>
      <c r="J10" s="131"/>
      <c r="K10" s="227"/>
      <c r="L10" s="2"/>
      <c r="O10" s="33"/>
    </row>
    <row r="11" spans="2:20" x14ac:dyDescent="0.45">
      <c r="B11" s="31"/>
      <c r="D11" s="95"/>
      <c r="E11" s="2"/>
      <c r="F11" s="41"/>
      <c r="G11" s="41"/>
      <c r="J11" s="2"/>
      <c r="K11"/>
      <c r="L11" s="2"/>
      <c r="O11" s="33"/>
    </row>
    <row r="12" spans="2:20" ht="14.65" thickBot="1" x14ac:dyDescent="0.5">
      <c r="D12" s="106"/>
      <c r="E12" s="106"/>
      <c r="F12" s="54"/>
      <c r="G12" s="54"/>
      <c r="H12" s="54"/>
      <c r="I12" s="54"/>
      <c r="J12" s="54"/>
      <c r="K12" s="54"/>
      <c r="L12" s="4"/>
      <c r="M12" s="4"/>
      <c r="N12" s="4"/>
      <c r="O12" s="54"/>
      <c r="P12" s="4"/>
      <c r="Q12" s="4"/>
    </row>
    <row r="13" spans="2:20" ht="30" customHeight="1" x14ac:dyDescent="0.45">
      <c r="C13" s="46"/>
      <c r="D13" s="47"/>
      <c r="E13" s="63"/>
      <c r="F13" s="242" t="s">
        <v>86</v>
      </c>
      <c r="G13" s="243"/>
      <c r="H13" s="31"/>
      <c r="I13" s="242" t="s">
        <v>87</v>
      </c>
      <c r="J13" s="252"/>
      <c r="K13" s="243"/>
      <c r="M13" s="238"/>
      <c r="N13" s="238"/>
      <c r="O13" s="238"/>
    </row>
    <row r="14" spans="2:20" ht="57" x14ac:dyDescent="0.45">
      <c r="C14" s="35" t="s">
        <v>369</v>
      </c>
      <c r="D14" s="37" t="s">
        <v>90</v>
      </c>
      <c r="E14" s="64"/>
      <c r="F14" s="244" t="s">
        <v>91</v>
      </c>
      <c r="G14" s="37" t="s">
        <v>390</v>
      </c>
      <c r="H14" s="48"/>
      <c r="I14" s="35" t="s">
        <v>294</v>
      </c>
      <c r="J14" s="246" t="s">
        <v>97</v>
      </c>
      <c r="K14" s="248" t="s">
        <v>99</v>
      </c>
      <c r="L14" s="5"/>
      <c r="M14" s="166"/>
      <c r="N14" s="166"/>
      <c r="O14" s="268"/>
      <c r="P14" s="5"/>
      <c r="Q14" s="5"/>
    </row>
    <row r="15" spans="2:20" ht="15.75" customHeight="1" x14ac:dyDescent="0.45">
      <c r="C15" s="50"/>
      <c r="D15" s="56"/>
      <c r="E15" s="65"/>
      <c r="F15" s="245"/>
      <c r="G15" s="56">
        <f>+'Ex.1 Assumptions'!D11/2</f>
        <v>0.03</v>
      </c>
      <c r="H15" s="55"/>
      <c r="I15" s="50">
        <f>+'Ex.1 Assumptions'!D11/2</f>
        <v>0.03</v>
      </c>
      <c r="J15" s="247"/>
      <c r="K15" s="249"/>
      <c r="L15" s="5"/>
      <c r="M15" s="168"/>
      <c r="N15" s="168"/>
      <c r="O15" s="268"/>
      <c r="P15" s="5"/>
      <c r="Q15" s="5"/>
    </row>
    <row r="16" spans="2:20" x14ac:dyDescent="0.45">
      <c r="C16" s="52"/>
      <c r="D16" s="59"/>
      <c r="E16" s="66"/>
      <c r="F16" s="52">
        <f>+'Ex.2 Term &amp; Cost Classification'!M14</f>
        <v>0</v>
      </c>
      <c r="G16" s="45"/>
      <c r="H16" s="2"/>
      <c r="I16" s="52"/>
      <c r="J16" s="44"/>
      <c r="K16" s="167">
        <f>+D5</f>
        <v>929275</v>
      </c>
      <c r="L16" s="7"/>
      <c r="M16" s="2"/>
      <c r="N16" s="2"/>
      <c r="O16" s="169"/>
    </row>
    <row r="17" spans="2:16" x14ac:dyDescent="0.45">
      <c r="C17" s="52">
        <v>1</v>
      </c>
      <c r="D17" s="60" t="str">
        <f>+'Ex.2 Term &amp; Cost Classification'!A31</f>
        <v>1/1/X2</v>
      </c>
      <c r="E17" s="62"/>
      <c r="F17" s="52">
        <f>+'Ex.2 Term &amp; Cost Classification'!M31</f>
        <v>250000</v>
      </c>
      <c r="G17" s="45">
        <f t="shared" ref="G17:G20" si="0">-PV(+$G$15,C17,,F17,1)</f>
        <v>242718.44660194175</v>
      </c>
      <c r="H17" s="2"/>
      <c r="I17" s="52">
        <f>+K16*I15</f>
        <v>27878.25</v>
      </c>
      <c r="J17" s="44">
        <f t="shared" ref="J17:J20" si="1">+F17-I17</f>
        <v>222121.75</v>
      </c>
      <c r="K17" s="82">
        <f>+K16-J17</f>
        <v>707153.25</v>
      </c>
      <c r="L17" s="7"/>
      <c r="M17" s="2"/>
      <c r="N17" s="2"/>
      <c r="O17" s="169"/>
    </row>
    <row r="18" spans="2:16" x14ac:dyDescent="0.45">
      <c r="C18" s="52">
        <v>2</v>
      </c>
      <c r="D18" s="60" t="str">
        <f>+'Ex.2 Term &amp; Cost Classification'!A33</f>
        <v>7/1/X2</v>
      </c>
      <c r="E18" s="62"/>
      <c r="F18" s="52">
        <f>+'Ex.2 Term &amp; Cost Classification'!M33</f>
        <v>250000</v>
      </c>
      <c r="G18" s="45">
        <f t="shared" si="0"/>
        <v>235648.97728343861</v>
      </c>
      <c r="H18" s="2"/>
      <c r="I18" s="52">
        <f t="shared" ref="I18:I20" si="2">+K17*I$15</f>
        <v>21214.5975</v>
      </c>
      <c r="J18" s="44">
        <f t="shared" si="1"/>
        <v>228785.4025</v>
      </c>
      <c r="K18" s="82">
        <f t="shared" ref="K18:K19" si="3">+K17-J18</f>
        <v>478367.84750000003</v>
      </c>
      <c r="L18" s="7"/>
      <c r="M18" s="2"/>
      <c r="N18" s="2"/>
      <c r="O18" s="169"/>
    </row>
    <row r="19" spans="2:16" x14ac:dyDescent="0.45">
      <c r="C19" s="52">
        <v>3</v>
      </c>
      <c r="D19" s="60" t="str">
        <f>+'Ex.2 Term &amp; Cost Classification'!A34</f>
        <v>1/1/X3</v>
      </c>
      <c r="E19" s="62"/>
      <c r="F19" s="52">
        <f>+'Ex.2 Term &amp; Cost Classification'!M34</f>
        <v>250000</v>
      </c>
      <c r="G19" s="45">
        <f t="shared" si="0"/>
        <v>228785.4148382899</v>
      </c>
      <c r="H19" s="2"/>
      <c r="I19" s="52">
        <f t="shared" si="2"/>
        <v>14351.035425</v>
      </c>
      <c r="J19" s="44">
        <f t="shared" si="1"/>
        <v>235648.96457499999</v>
      </c>
      <c r="K19" s="82">
        <f t="shared" si="3"/>
        <v>242718.88292500004</v>
      </c>
      <c r="L19" s="7"/>
      <c r="M19" s="2"/>
      <c r="N19" s="2"/>
      <c r="O19" s="169"/>
    </row>
    <row r="20" spans="2:16" x14ac:dyDescent="0.45">
      <c r="C20" s="52">
        <v>4</v>
      </c>
      <c r="D20" s="60" t="s">
        <v>129</v>
      </c>
      <c r="E20" s="62"/>
      <c r="F20" s="52">
        <f>+'Ex.2 Term &amp; Cost Classification'!M36</f>
        <v>250000</v>
      </c>
      <c r="G20" s="45">
        <f t="shared" si="0"/>
        <v>222121.76197892224</v>
      </c>
      <c r="H20" s="2"/>
      <c r="I20" s="52">
        <f t="shared" si="2"/>
        <v>7281.5664877500012</v>
      </c>
      <c r="J20" s="44">
        <f t="shared" si="1"/>
        <v>242718.43351224999</v>
      </c>
      <c r="K20" s="82">
        <f>ROUND(+K19-J20,0)</f>
        <v>0</v>
      </c>
      <c r="L20" s="7"/>
      <c r="M20" s="2"/>
      <c r="N20" s="2"/>
      <c r="O20" s="169"/>
    </row>
    <row r="21" spans="2:16" ht="14.65" thickBot="1" x14ac:dyDescent="0.5">
      <c r="C21" s="53"/>
      <c r="D21" s="61"/>
      <c r="E21" s="62"/>
      <c r="F21" s="69">
        <f>SUM(F16:F20)</f>
        <v>1000000</v>
      </c>
      <c r="G21" s="57">
        <f>SUM(G17:G20)</f>
        <v>929274.6007025924</v>
      </c>
      <c r="H21" s="2"/>
      <c r="I21" s="69">
        <f>SUM(I16:I20)</f>
        <v>70725.449412750007</v>
      </c>
      <c r="J21" s="71">
        <f>SUM(J16:J20)</f>
        <v>929274.55058724992</v>
      </c>
      <c r="K21" s="57"/>
      <c r="M21" s="170"/>
      <c r="N21" s="170"/>
      <c r="O21" s="169"/>
      <c r="P21" s="33"/>
    </row>
    <row r="22" spans="2:16" x14ac:dyDescent="0.45">
      <c r="D22" s="49"/>
      <c r="E22" s="49"/>
      <c r="F22" s="2"/>
      <c r="G22" s="54"/>
      <c r="H22" s="2"/>
      <c r="I22" s="54"/>
      <c r="J22" s="54">
        <f>ROUND(+J21-G21,0)</f>
        <v>0</v>
      </c>
      <c r="K22" s="2"/>
      <c r="M22" s="8"/>
      <c r="N22" s="8"/>
      <c r="O22" s="2"/>
      <c r="P22" s="33"/>
    </row>
    <row r="23" spans="2:16" x14ac:dyDescent="0.45">
      <c r="D23" s="49"/>
      <c r="E23" s="49"/>
      <c r="F23" s="2"/>
      <c r="G23" s="54"/>
      <c r="H23" s="2"/>
      <c r="I23" s="54"/>
      <c r="J23" s="54"/>
      <c r="K23" s="2"/>
      <c r="M23" s="8"/>
      <c r="N23" s="8"/>
      <c r="O23" s="2"/>
      <c r="P23" s="33"/>
    </row>
    <row r="24" spans="2:16" ht="14.65" thickBot="1" x14ac:dyDescent="0.5">
      <c r="D24" s="49"/>
      <c r="E24" s="49"/>
      <c r="F24" s="2"/>
      <c r="G24" s="54"/>
      <c r="H24" s="2"/>
      <c r="I24" s="54"/>
      <c r="J24" s="54"/>
      <c r="K24" s="2"/>
      <c r="M24" s="8"/>
      <c r="N24" s="8"/>
      <c r="O24" s="2"/>
      <c r="P24" s="33"/>
    </row>
    <row r="25" spans="2:16" x14ac:dyDescent="0.45">
      <c r="B25" s="263" t="s">
        <v>292</v>
      </c>
      <c r="C25" s="264"/>
      <c r="D25" s="264"/>
      <c r="E25" s="264"/>
      <c r="F25" s="264"/>
      <c r="G25" s="264"/>
      <c r="H25" s="264"/>
      <c r="I25" s="264"/>
      <c r="J25" s="265"/>
      <c r="K25" s="184"/>
      <c r="M25" s="8"/>
      <c r="N25" s="8"/>
      <c r="O25" s="2"/>
      <c r="P25" s="33"/>
    </row>
    <row r="26" spans="2:16" ht="57" x14ac:dyDescent="0.45">
      <c r="B26" s="266" t="s">
        <v>316</v>
      </c>
      <c r="C26" s="267"/>
      <c r="D26" s="189" t="s">
        <v>365</v>
      </c>
      <c r="E26" s="190"/>
      <c r="F26" s="191" t="s">
        <v>295</v>
      </c>
      <c r="G26" s="191" t="s">
        <v>220</v>
      </c>
      <c r="H26" s="191"/>
      <c r="I26" s="189" t="s">
        <v>339</v>
      </c>
      <c r="J26" s="192" t="s">
        <v>293</v>
      </c>
      <c r="N26" s="8"/>
      <c r="O26" s="2"/>
      <c r="P26" s="33"/>
    </row>
    <row r="27" spans="2:16" x14ac:dyDescent="0.45">
      <c r="B27" s="185"/>
      <c r="D27" s="5">
        <f>3*12</f>
        <v>36</v>
      </c>
      <c r="E27"/>
      <c r="F27" s="49" t="s">
        <v>26</v>
      </c>
      <c r="G27" s="107"/>
      <c r="I27" s="107"/>
      <c r="J27" s="186"/>
      <c r="N27" s="8"/>
      <c r="O27" s="2"/>
      <c r="P27" s="33"/>
    </row>
    <row r="28" spans="2:16" ht="14.65" thickBot="1" x14ac:dyDescent="0.5">
      <c r="B28" s="198"/>
      <c r="C28" s="199"/>
      <c r="D28" s="203">
        <f>+D27-6</f>
        <v>30</v>
      </c>
      <c r="E28" s="199"/>
      <c r="F28" s="200" t="s">
        <v>225</v>
      </c>
      <c r="G28" s="201">
        <f>+D10</f>
        <v>2322275</v>
      </c>
      <c r="H28" s="199"/>
      <c r="I28" s="201"/>
      <c r="J28" s="204">
        <f>+G28-I28</f>
        <v>2322275</v>
      </c>
      <c r="N28" s="8"/>
      <c r="O28" s="2"/>
      <c r="P28" s="33"/>
    </row>
    <row r="29" spans="2:16" x14ac:dyDescent="0.45">
      <c r="B29" s="185"/>
      <c r="C29">
        <f t="shared" ref="C29:C38" si="4">+D28-D29</f>
        <v>1</v>
      </c>
      <c r="D29" s="5">
        <f>+D28-1</f>
        <v>29</v>
      </c>
      <c r="E29"/>
      <c r="F29" s="5" t="s">
        <v>229</v>
      </c>
      <c r="G29" s="107">
        <f>+'Ex.2 Term &amp; Cost Classification'!O22+'Ex.2 Term &amp; Cost Classification'!O24</f>
        <v>335000</v>
      </c>
      <c r="I29" s="107">
        <f>+J28/D28</f>
        <v>77409.166666666672</v>
      </c>
      <c r="J29" s="186">
        <f t="shared" ref="J29:J38" si="5">+J28+G29-I29</f>
        <v>2579865.8333333335</v>
      </c>
    </row>
    <row r="30" spans="2:16" x14ac:dyDescent="0.45">
      <c r="B30" s="185"/>
      <c r="C30">
        <f t="shared" si="4"/>
        <v>1</v>
      </c>
      <c r="D30" s="5">
        <f t="shared" ref="D30:D33" si="6">+D29-1</f>
        <v>28</v>
      </c>
      <c r="E30"/>
      <c r="F30" s="5" t="s">
        <v>230</v>
      </c>
      <c r="G30" s="107">
        <f>+'Ex.2 Term &amp; Cost Classification'!O25+'Ex.2 Term &amp; Cost Classification'!O26</f>
        <v>335000</v>
      </c>
      <c r="I30" s="107">
        <f>+J28/D28</f>
        <v>77409.166666666672</v>
      </c>
      <c r="J30" s="186">
        <f t="shared" si="5"/>
        <v>2837456.666666667</v>
      </c>
    </row>
    <row r="31" spans="2:16" ht="14.65" thickBot="1" x14ac:dyDescent="0.5">
      <c r="B31" s="198"/>
      <c r="C31" s="199">
        <f t="shared" si="4"/>
        <v>1</v>
      </c>
      <c r="D31" s="203">
        <f t="shared" si="6"/>
        <v>27</v>
      </c>
      <c r="E31" s="199"/>
      <c r="F31" s="200" t="s">
        <v>226</v>
      </c>
      <c r="G31" s="201">
        <f>+'Ex.2 Term &amp; Cost Classification'!O27+'Ex.2 Term &amp; Cost Classification'!O28+'Ex.2 Term &amp; Cost Classification'!O29</f>
        <v>272000</v>
      </c>
      <c r="H31" s="199"/>
      <c r="I31" s="201">
        <f>+J28/D28</f>
        <v>77409.166666666672</v>
      </c>
      <c r="J31" s="204">
        <f t="shared" si="5"/>
        <v>3032047.5000000005</v>
      </c>
      <c r="O31" s="2"/>
    </row>
    <row r="32" spans="2:16" x14ac:dyDescent="0.45">
      <c r="B32" s="185"/>
      <c r="C32">
        <f t="shared" si="4"/>
        <v>1</v>
      </c>
      <c r="D32" s="5">
        <f t="shared" si="6"/>
        <v>26</v>
      </c>
      <c r="E32"/>
      <c r="F32" s="5" t="s">
        <v>231</v>
      </c>
      <c r="G32" s="107"/>
      <c r="I32" s="107">
        <f>+J31/D31</f>
        <v>112298.05555555558</v>
      </c>
      <c r="J32" s="186">
        <f t="shared" si="5"/>
        <v>2919749.444444445</v>
      </c>
    </row>
    <row r="33" spans="2:11" x14ac:dyDescent="0.45">
      <c r="B33" s="185"/>
      <c r="C33">
        <f t="shared" si="4"/>
        <v>1</v>
      </c>
      <c r="D33" s="5">
        <f t="shared" si="6"/>
        <v>25</v>
      </c>
      <c r="E33"/>
      <c r="F33" s="5" t="s">
        <v>290</v>
      </c>
      <c r="G33" s="107"/>
      <c r="I33" s="107">
        <f>+J31/D31</f>
        <v>112298.05555555558</v>
      </c>
      <c r="J33" s="186">
        <f t="shared" si="5"/>
        <v>2807451.3888888895</v>
      </c>
    </row>
    <row r="34" spans="2:11" x14ac:dyDescent="0.45">
      <c r="B34" s="185"/>
      <c r="C34">
        <f>+D33-D34</f>
        <v>1</v>
      </c>
      <c r="D34" s="5">
        <f>+D33-1</f>
        <v>24</v>
      </c>
      <c r="E34"/>
      <c r="F34" s="5" t="s">
        <v>232</v>
      </c>
      <c r="G34" s="107"/>
      <c r="I34" s="107">
        <f>+J31/D31</f>
        <v>112298.05555555558</v>
      </c>
      <c r="J34" s="186">
        <f>+J33+G34-I34</f>
        <v>2695153.333333334</v>
      </c>
      <c r="K34" s="202" t="s">
        <v>43</v>
      </c>
    </row>
    <row r="35" spans="2:11" x14ac:dyDescent="0.45">
      <c r="B35" s="205"/>
      <c r="C35" s="179">
        <f>+D34-D35</f>
        <v>6</v>
      </c>
      <c r="D35" s="183">
        <f>+D34-6</f>
        <v>18</v>
      </c>
      <c r="E35" s="179"/>
      <c r="F35" s="183" t="s">
        <v>291</v>
      </c>
      <c r="G35" s="181"/>
      <c r="H35" s="179"/>
      <c r="I35" s="206">
        <f>+$J$34/$D$34*C35</f>
        <v>673788.33333333349</v>
      </c>
      <c r="J35" s="181">
        <f>+J34+G35-I35</f>
        <v>2021365.0000000005</v>
      </c>
      <c r="K35" s="67">
        <f>SUM(I29:I35)</f>
        <v>1242910.0000000002</v>
      </c>
    </row>
    <row r="36" spans="2:11" x14ac:dyDescent="0.45">
      <c r="B36" s="185"/>
      <c r="C36">
        <f>+D35-D36</f>
        <v>6</v>
      </c>
      <c r="D36" s="5">
        <f>+D35-6</f>
        <v>12</v>
      </c>
      <c r="E36"/>
      <c r="F36" s="5" t="s">
        <v>218</v>
      </c>
      <c r="G36" s="107"/>
      <c r="I36" s="107">
        <f t="shared" ref="I36:I38" si="7">(+$J$34/$D$34)*C36</f>
        <v>673788.33333333349</v>
      </c>
      <c r="J36" s="107">
        <f t="shared" si="5"/>
        <v>1347576.666666667</v>
      </c>
      <c r="K36" s="52" t="s">
        <v>46</v>
      </c>
    </row>
    <row r="37" spans="2:11" x14ac:dyDescent="0.45">
      <c r="B37" s="205"/>
      <c r="C37" s="179">
        <f t="shared" si="4"/>
        <v>6</v>
      </c>
      <c r="D37" s="183">
        <f t="shared" ref="D37:D38" si="8">+D36-6</f>
        <v>6</v>
      </c>
      <c r="E37" s="183"/>
      <c r="F37" s="183" t="s">
        <v>296</v>
      </c>
      <c r="G37" s="181"/>
      <c r="H37" s="179"/>
      <c r="I37" s="181">
        <f t="shared" si="7"/>
        <v>673788.33333333349</v>
      </c>
      <c r="J37" s="181">
        <f t="shared" si="5"/>
        <v>673788.33333333349</v>
      </c>
      <c r="K37" s="67">
        <f>+I36+I37</f>
        <v>1347576.666666667</v>
      </c>
    </row>
    <row r="38" spans="2:11" x14ac:dyDescent="0.45">
      <c r="B38" s="185"/>
      <c r="C38">
        <f t="shared" si="4"/>
        <v>6</v>
      </c>
      <c r="D38" s="213">
        <f t="shared" si="8"/>
        <v>0</v>
      </c>
      <c r="F38" s="5" t="s">
        <v>297</v>
      </c>
      <c r="G38" s="107"/>
      <c r="I38" s="107">
        <f t="shared" si="7"/>
        <v>673788.33333333349</v>
      </c>
      <c r="J38" s="218">
        <f t="shared" si="5"/>
        <v>0</v>
      </c>
      <c r="K38" s="216" t="s">
        <v>219</v>
      </c>
    </row>
    <row r="39" spans="2:11" ht="14.65" thickBot="1" x14ac:dyDescent="0.5">
      <c r="B39" s="187"/>
      <c r="C39" s="171"/>
      <c r="D39" s="188"/>
      <c r="E39" s="188"/>
      <c r="F39" s="171"/>
      <c r="G39" s="214">
        <f>SUM(G28:G38)</f>
        <v>3264275</v>
      </c>
      <c r="H39" s="171"/>
      <c r="I39" s="214">
        <f>SUM(I28:I38)</f>
        <v>3264275.0000000005</v>
      </c>
      <c r="J39" s="172"/>
      <c r="K39" s="217">
        <f>+I38</f>
        <v>673788.33333333349</v>
      </c>
    </row>
  </sheetData>
  <mergeCells count="9">
    <mergeCell ref="F13:G13"/>
    <mergeCell ref="I13:K13"/>
    <mergeCell ref="M13:O13"/>
    <mergeCell ref="B25:J25"/>
    <mergeCell ref="B26:C26"/>
    <mergeCell ref="K14:K15"/>
    <mergeCell ref="O14:O15"/>
    <mergeCell ref="F14:F15"/>
    <mergeCell ref="J14:J15"/>
  </mergeCells>
  <phoneticPr fontId="13" type="noConversion"/>
  <pageMargins left="0.25" right="0.25" top="0.75" bottom="0.75" header="0.3" footer="0.3"/>
  <pageSetup paperSize="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E9246-CC08-4AA3-AB86-6E781B3896D7}">
  <sheetPr>
    <pageSetUpPr fitToPage="1"/>
  </sheetPr>
  <dimension ref="A1:AA201"/>
  <sheetViews>
    <sheetView zoomScale="85" zoomScaleNormal="85" workbookViewId="0">
      <selection sqref="A1:P1"/>
    </sheetView>
  </sheetViews>
  <sheetFormatPr defaultColWidth="9" defaultRowHeight="15.75" x14ac:dyDescent="0.5"/>
  <cols>
    <col min="1" max="1" width="13.73046875" style="1" customWidth="1"/>
    <col min="2" max="2" width="6.59765625" style="1" customWidth="1"/>
    <col min="3" max="3" width="50" style="1" customWidth="1"/>
    <col min="4" max="4" width="2.265625" style="1" customWidth="1"/>
    <col min="5" max="6" width="16.265625" style="1" bestFit="1" customWidth="1"/>
    <col min="7" max="7" width="2" style="1" customWidth="1"/>
    <col min="8" max="8" width="5.59765625" style="1" customWidth="1"/>
    <col min="9" max="9" width="46" style="1" customWidth="1"/>
    <col min="10" max="11" width="17" style="1" bestFit="1" customWidth="1"/>
    <col min="12" max="12" width="2" style="1" customWidth="1"/>
    <col min="13" max="13" width="5.59765625" style="1" customWidth="1"/>
    <col min="14" max="14" width="50.73046875" style="1" customWidth="1"/>
    <col min="15" max="16" width="17" style="1" bestFit="1" customWidth="1"/>
    <col min="17" max="16384" width="9" style="1"/>
  </cols>
  <sheetData>
    <row r="1" spans="1:16" x14ac:dyDescent="0.5">
      <c r="A1" s="256" t="s">
        <v>136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</row>
    <row r="2" spans="1:16" x14ac:dyDescent="0.5">
      <c r="A2" s="10" t="s">
        <v>366</v>
      </c>
      <c r="E2" s="207"/>
      <c r="F2" s="11"/>
      <c r="H2" s="12"/>
      <c r="J2" s="11"/>
      <c r="K2" s="11"/>
      <c r="O2" s="11"/>
      <c r="P2" s="11"/>
    </row>
    <row r="3" spans="1:16" x14ac:dyDescent="0.5">
      <c r="E3" s="13"/>
      <c r="F3" s="13"/>
      <c r="J3" s="13"/>
      <c r="K3" s="13"/>
      <c r="O3" s="13"/>
      <c r="P3" s="13"/>
    </row>
    <row r="4" spans="1:16" x14ac:dyDescent="0.5">
      <c r="A4" s="14"/>
      <c r="B4" s="258" t="s">
        <v>138</v>
      </c>
      <c r="C4" s="259"/>
      <c r="D4" s="259"/>
      <c r="E4" s="259"/>
      <c r="F4" s="260"/>
      <c r="H4" s="258" t="s">
        <v>139</v>
      </c>
      <c r="I4" s="259"/>
      <c r="J4" s="259"/>
      <c r="K4" s="260"/>
      <c r="M4" s="258" t="s">
        <v>140</v>
      </c>
      <c r="N4" s="259"/>
      <c r="O4" s="259"/>
      <c r="P4" s="260"/>
    </row>
    <row r="5" spans="1:16" x14ac:dyDescent="0.5">
      <c r="A5" s="14"/>
      <c r="B5" s="15"/>
      <c r="C5" s="15"/>
      <c r="D5" s="15"/>
      <c r="E5" s="16" t="s">
        <v>141</v>
      </c>
      <c r="F5" s="16" t="s">
        <v>142</v>
      </c>
      <c r="H5" s="15"/>
      <c r="I5" s="15"/>
      <c r="J5" s="16" t="s">
        <v>141</v>
      </c>
      <c r="K5" s="16" t="s">
        <v>142</v>
      </c>
      <c r="M5" s="15"/>
      <c r="N5" s="15"/>
      <c r="O5" s="16" t="s">
        <v>141</v>
      </c>
      <c r="P5" s="16" t="s">
        <v>142</v>
      </c>
    </row>
    <row r="6" spans="1:16" x14ac:dyDescent="0.5">
      <c r="A6" s="17" t="s">
        <v>153</v>
      </c>
      <c r="B6" s="10"/>
      <c r="C6" s="10"/>
      <c r="D6" s="10"/>
      <c r="E6" s="18"/>
      <c r="F6" s="18"/>
      <c r="H6" s="10"/>
      <c r="I6" s="10"/>
      <c r="J6" s="18"/>
      <c r="K6" s="18"/>
      <c r="M6" s="10"/>
      <c r="N6" s="10"/>
      <c r="O6" s="18"/>
      <c r="P6" s="18"/>
    </row>
    <row r="7" spans="1:16" x14ac:dyDescent="0.5">
      <c r="A7" s="88" t="s">
        <v>301</v>
      </c>
      <c r="B7" s="1" t="s">
        <v>311</v>
      </c>
      <c r="E7" s="18">
        <f>SUM('Ex.2 Term &amp; Cost Classification'!E6:E13)</f>
        <v>246000</v>
      </c>
      <c r="F7" s="18"/>
      <c r="I7" s="1" t="s">
        <v>146</v>
      </c>
      <c r="J7" s="18"/>
      <c r="K7" s="18"/>
      <c r="M7" s="1" t="str">
        <f>+B7</f>
        <v>Expenditures - current</v>
      </c>
      <c r="O7" s="18">
        <f>+E7</f>
        <v>246000</v>
      </c>
      <c r="P7" s="18"/>
    </row>
    <row r="8" spans="1:16" x14ac:dyDescent="0.5">
      <c r="A8" s="88"/>
      <c r="B8" s="19" t="s">
        <v>148</v>
      </c>
      <c r="E8" s="18">
        <f>+'Ex.2 Term &amp; Cost Classification'!E13</f>
        <v>50000</v>
      </c>
      <c r="F8" s="18"/>
      <c r="J8" s="18"/>
      <c r="K8" s="18"/>
      <c r="M8" s="1" t="str">
        <f>+B8</f>
        <v>Salaries and benefits expenditures/expense</v>
      </c>
      <c r="O8" s="18">
        <f>+E8</f>
        <v>50000</v>
      </c>
      <c r="P8" s="18"/>
    </row>
    <row r="9" spans="1:16" x14ac:dyDescent="0.5">
      <c r="C9" s="1" t="s">
        <v>303</v>
      </c>
      <c r="E9" s="18"/>
      <c r="F9" s="18">
        <f>+E7+E8</f>
        <v>296000</v>
      </c>
      <c r="J9" s="18"/>
      <c r="K9" s="18"/>
      <c r="N9" s="1" t="str">
        <f>+C9</f>
        <v>Cash or accounts payable - GFOA</v>
      </c>
      <c r="O9" s="18"/>
      <c r="P9" s="18">
        <f>+F9</f>
        <v>296000</v>
      </c>
    </row>
    <row r="10" spans="1:16" s="25" customFormat="1" x14ac:dyDescent="0.5">
      <c r="A10" s="90"/>
      <c r="B10" s="25" t="s">
        <v>150</v>
      </c>
      <c r="E10" s="91"/>
      <c r="F10" s="91"/>
      <c r="J10" s="91"/>
      <c r="K10" s="91"/>
      <c r="M10" s="25" t="str">
        <f>+B10</f>
        <v>To record preliminary project stage consultant and in-house</v>
      </c>
      <c r="O10" s="91"/>
      <c r="P10" s="91"/>
    </row>
    <row r="11" spans="1:16" s="25" customFormat="1" x14ac:dyDescent="0.5">
      <c r="A11" s="90"/>
      <c r="B11" s="92" t="s">
        <v>151</v>
      </c>
      <c r="E11" s="91"/>
      <c r="F11" s="91"/>
      <c r="J11" s="91"/>
      <c r="K11" s="91"/>
      <c r="M11" s="92" t="str">
        <f>+B11</f>
        <v xml:space="preserve"> staff costs as expenditures/expenses in year in which they</v>
      </c>
      <c r="O11" s="91"/>
      <c r="P11" s="91"/>
    </row>
    <row r="12" spans="1:16" x14ac:dyDescent="0.5">
      <c r="A12" s="136"/>
      <c r="B12" s="92" t="s">
        <v>152</v>
      </c>
      <c r="C12" s="10"/>
      <c r="D12" s="10"/>
      <c r="E12" s="18"/>
      <c r="F12" s="18"/>
      <c r="H12" s="10"/>
      <c r="I12" s="10"/>
      <c r="J12" s="18"/>
      <c r="K12" s="18"/>
      <c r="M12" s="92" t="str">
        <f>+B12</f>
        <v xml:space="preserve"> were incurred</v>
      </c>
      <c r="N12" s="10"/>
      <c r="O12" s="18"/>
      <c r="P12" s="18"/>
    </row>
    <row r="13" spans="1:16" x14ac:dyDescent="0.5">
      <c r="A13" s="136"/>
      <c r="B13" s="92"/>
      <c r="C13" s="10"/>
      <c r="D13" s="10"/>
      <c r="E13" s="18"/>
      <c r="F13" s="18"/>
      <c r="H13" s="10"/>
      <c r="I13" s="10"/>
      <c r="J13" s="18"/>
      <c r="K13" s="18"/>
      <c r="M13" s="10"/>
      <c r="N13" s="10"/>
      <c r="O13" s="18"/>
      <c r="P13" s="18"/>
    </row>
    <row r="14" spans="1:16" x14ac:dyDescent="0.5">
      <c r="A14" s="136"/>
      <c r="B14" s="92"/>
      <c r="C14" s="10"/>
      <c r="D14" s="10"/>
      <c r="E14" s="18"/>
      <c r="F14" s="18"/>
      <c r="H14" s="10"/>
      <c r="I14" s="10"/>
      <c r="J14" s="18"/>
      <c r="K14" s="18"/>
      <c r="M14" s="10"/>
      <c r="N14" s="10"/>
      <c r="O14" s="18"/>
      <c r="P14" s="18"/>
    </row>
    <row r="15" spans="1:16" x14ac:dyDescent="0.5">
      <c r="A15" s="93" t="s">
        <v>154</v>
      </c>
      <c r="B15" s="1" t="s">
        <v>155</v>
      </c>
      <c r="E15" s="18">
        <f>+'Ex.2 Term &amp; Cost Classification'!G14</f>
        <v>250000</v>
      </c>
      <c r="F15" s="18"/>
      <c r="H15" s="1" t="s">
        <v>305</v>
      </c>
      <c r="J15" s="18">
        <f>+E15</f>
        <v>250000</v>
      </c>
      <c r="K15" s="18"/>
      <c r="M15" s="1" t="str">
        <f>+H15</f>
        <v>Development in progress - ERP System</v>
      </c>
      <c r="O15" s="18">
        <f>+J15</f>
        <v>250000</v>
      </c>
      <c r="P15" s="18"/>
    </row>
    <row r="16" spans="1:16" x14ac:dyDescent="0.5">
      <c r="A16" s="89"/>
      <c r="C16" s="1" t="s">
        <v>304</v>
      </c>
      <c r="E16" s="11"/>
      <c r="F16" s="18">
        <f>+E15</f>
        <v>250000</v>
      </c>
      <c r="I16" s="1" t="str">
        <f>+B15</f>
        <v>Capital outlay</v>
      </c>
      <c r="J16" s="26"/>
      <c r="K16" s="26">
        <f>+F16</f>
        <v>250000</v>
      </c>
      <c r="N16" s="1" t="str">
        <f>+C16</f>
        <v>Cash or accounts payable - PERP</v>
      </c>
      <c r="P16" s="26">
        <f>+F16</f>
        <v>250000</v>
      </c>
    </row>
    <row r="17" spans="1:16" x14ac:dyDescent="0.5">
      <c r="A17" s="94"/>
      <c r="B17" s="25" t="s">
        <v>324</v>
      </c>
      <c r="C17" s="32"/>
      <c r="D17" s="32"/>
      <c r="E17" s="11"/>
      <c r="F17" s="18"/>
      <c r="H17" s="23" t="s">
        <v>373</v>
      </c>
      <c r="I17" s="19"/>
      <c r="J17" s="20"/>
      <c r="K17" s="20"/>
      <c r="M17" s="25" t="str">
        <f>+B17</f>
        <v xml:space="preserve">To record first prepayment for right-to-use PERP </v>
      </c>
      <c r="N17" s="19"/>
      <c r="O17" s="20"/>
      <c r="P17" s="20"/>
    </row>
    <row r="18" spans="1:16" x14ac:dyDescent="0.5">
      <c r="A18" s="93"/>
      <c r="B18" s="92" t="s">
        <v>350</v>
      </c>
      <c r="E18" s="11"/>
      <c r="F18" s="18"/>
      <c r="H18" s="97" t="s">
        <v>377</v>
      </c>
      <c r="J18" s="24"/>
      <c r="K18" s="11"/>
      <c r="M18" s="92" t="str">
        <f>+B18</f>
        <v>ERP System IT assets 1/1-6/30/X1</v>
      </c>
    </row>
    <row r="19" spans="1:16" x14ac:dyDescent="0.5">
      <c r="A19" s="93"/>
      <c r="B19" s="92"/>
      <c r="E19" s="11"/>
      <c r="F19" s="18"/>
      <c r="H19" s="23"/>
      <c r="J19" s="24"/>
      <c r="K19" s="11"/>
      <c r="M19" s="25"/>
    </row>
    <row r="20" spans="1:16" x14ac:dyDescent="0.5">
      <c r="A20" s="93"/>
    </row>
    <row r="21" spans="1:16" x14ac:dyDescent="0.5">
      <c r="A21" s="93" t="s">
        <v>302</v>
      </c>
      <c r="B21" s="19" t="str">
        <f>+B15</f>
        <v>Capital outlay</v>
      </c>
      <c r="C21" s="19"/>
      <c r="D21" s="19"/>
      <c r="E21" s="11">
        <f>+'Ex.2 Term &amp; Cost Classification'!I15+'Ex.2 Term &amp; Cost Classification'!I17+'Ex.2 Term &amp; Cost Classification'!I18</f>
        <v>820000</v>
      </c>
      <c r="F21" s="11"/>
      <c r="H21" s="1" t="str">
        <f>+H15</f>
        <v>Development in progress - ERP System</v>
      </c>
      <c r="J21" s="26">
        <f>+K22</f>
        <v>820000</v>
      </c>
      <c r="M21" s="1" t="str">
        <f>+H21</f>
        <v>Development in progress - ERP System</v>
      </c>
      <c r="O21" s="18">
        <f>+J21</f>
        <v>820000</v>
      </c>
      <c r="P21" s="18"/>
    </row>
    <row r="22" spans="1:16" x14ac:dyDescent="0.5">
      <c r="A22" s="93"/>
      <c r="B22" s="19" t="str">
        <f>+B7</f>
        <v>Expenditures - current</v>
      </c>
      <c r="C22" s="19"/>
      <c r="D22" s="19"/>
      <c r="E22" s="11">
        <f>+'Ex.2 Term &amp; Cost Classification'!K18</f>
        <v>180000</v>
      </c>
      <c r="F22" s="11"/>
      <c r="I22" s="1" t="str">
        <f>+B21</f>
        <v>Capital outlay</v>
      </c>
      <c r="K22" s="26">
        <f>+E21</f>
        <v>820000</v>
      </c>
      <c r="M22" s="1" t="str">
        <f>+B22</f>
        <v>Expenditures - current</v>
      </c>
      <c r="O22" s="26">
        <f>+E22</f>
        <v>180000</v>
      </c>
    </row>
    <row r="23" spans="1:16" x14ac:dyDescent="0.5">
      <c r="A23" s="21"/>
      <c r="B23" s="19"/>
      <c r="C23" s="19" t="s">
        <v>318</v>
      </c>
      <c r="D23" s="19"/>
      <c r="E23" s="11"/>
      <c r="F23" s="11">
        <f>+E21+E22</f>
        <v>1000000</v>
      </c>
      <c r="H23" s="23" t="str">
        <f t="shared" ref="H23:H24" si="0">H17</f>
        <v>To capitalize eligible subscription asset development costs</v>
      </c>
      <c r="N23" s="1" t="str">
        <f>+C23</f>
        <v>Cash or accounts payable - SLEEPS</v>
      </c>
      <c r="P23" s="26">
        <f>+F23</f>
        <v>1000000</v>
      </c>
    </row>
    <row r="24" spans="1:16" x14ac:dyDescent="0.5">
      <c r="A24" s="21"/>
      <c r="B24" s="25" t="s">
        <v>309</v>
      </c>
      <c r="C24" s="34"/>
      <c r="D24" s="34"/>
      <c r="E24" s="11"/>
      <c r="F24" s="11"/>
      <c r="H24" s="92" t="str">
        <f t="shared" si="0"/>
        <v>incurred for GL module</v>
      </c>
      <c r="M24" s="25" t="str">
        <f>+B24</f>
        <v>To record payments to SLEEPS for initial implementation stage</v>
      </c>
      <c r="N24" s="19"/>
      <c r="O24" s="20"/>
      <c r="P24" s="20"/>
    </row>
    <row r="25" spans="1:16" x14ac:dyDescent="0.5">
      <c r="A25" s="21"/>
      <c r="B25" s="92" t="s">
        <v>372</v>
      </c>
      <c r="C25" s="34"/>
      <c r="D25" s="34"/>
      <c r="E25" s="11"/>
      <c r="F25" s="11"/>
      <c r="M25" s="92" t="str">
        <f t="shared" ref="M25:M26" si="1">+B25</f>
        <v>work as capital outlay and training and data conversion work</v>
      </c>
    </row>
    <row r="26" spans="1:16" x14ac:dyDescent="0.5">
      <c r="A26" s="21"/>
      <c r="B26" s="92" t="s">
        <v>371</v>
      </c>
      <c r="C26" s="34"/>
      <c r="D26" s="34"/>
      <c r="E26" s="11"/>
      <c r="F26" s="11"/>
      <c r="M26" s="92" t="str">
        <f t="shared" si="1"/>
        <v>as current period expenditures</v>
      </c>
    </row>
    <row r="27" spans="1:16" x14ac:dyDescent="0.5">
      <c r="A27" s="21"/>
      <c r="B27" s="92"/>
      <c r="C27" s="34"/>
      <c r="D27" s="34"/>
      <c r="E27" s="11"/>
      <c r="F27" s="11"/>
    </row>
    <row r="28" spans="1:16" x14ac:dyDescent="0.5">
      <c r="A28" s="21"/>
      <c r="B28" s="92"/>
      <c r="C28" s="34"/>
      <c r="D28" s="34"/>
      <c r="E28" s="11"/>
      <c r="F28" s="11"/>
    </row>
    <row r="29" spans="1:16" x14ac:dyDescent="0.5">
      <c r="A29" s="93" t="s">
        <v>302</v>
      </c>
      <c r="B29" s="1" t="str">
        <f>+B21</f>
        <v>Capital outlay</v>
      </c>
      <c r="C29" s="34"/>
      <c r="D29" s="34"/>
      <c r="E29" s="11">
        <f>+'Ex.2 Term &amp; Cost Classification'!I16+'Ex.2 Term &amp; Cost Classification'!I19</f>
        <v>48000</v>
      </c>
      <c r="F29" s="11"/>
      <c r="H29" s="1" t="str">
        <f>+H21</f>
        <v>Development in progress - ERP System</v>
      </c>
      <c r="J29" s="26">
        <f>+K30</f>
        <v>48000</v>
      </c>
      <c r="M29" s="1" t="str">
        <f>+H29</f>
        <v>Development in progress - ERP System</v>
      </c>
      <c r="O29" s="26">
        <f>+J29</f>
        <v>48000</v>
      </c>
    </row>
    <row r="30" spans="1:16" x14ac:dyDescent="0.5">
      <c r="A30" s="93"/>
      <c r="B30" s="19" t="s">
        <v>148</v>
      </c>
      <c r="C30" s="34"/>
      <c r="D30" s="34"/>
      <c r="E30" s="11">
        <f>+'Ex.2 Term &amp; Cost Classification'!K19</f>
        <v>12000</v>
      </c>
      <c r="F30" s="11"/>
      <c r="I30" s="1" t="str">
        <f>+B29</f>
        <v>Capital outlay</v>
      </c>
      <c r="K30" s="26">
        <f>+E29</f>
        <v>48000</v>
      </c>
      <c r="M30" s="1" t="str">
        <f>+B30</f>
        <v>Salaries and benefits expenditures/expense</v>
      </c>
      <c r="O30" s="26">
        <f>+E30</f>
        <v>12000</v>
      </c>
    </row>
    <row r="31" spans="1:16" x14ac:dyDescent="0.5">
      <c r="A31" s="93"/>
      <c r="B31" s="92"/>
      <c r="C31" s="193" t="s">
        <v>332</v>
      </c>
      <c r="D31" s="34"/>
      <c r="E31" s="11"/>
      <c r="F31" s="11">
        <f>+E29+E30</f>
        <v>60000</v>
      </c>
      <c r="H31" s="23" t="str">
        <f>H23</f>
        <v>To capitalize eligible subscription asset development costs</v>
      </c>
      <c r="N31" s="1" t="str">
        <f>+C31</f>
        <v>Cash or salaries and benefits payable</v>
      </c>
      <c r="P31" s="26">
        <f>+F31</f>
        <v>60000</v>
      </c>
    </row>
    <row r="32" spans="1:16" x14ac:dyDescent="0.5">
      <c r="A32" s="93"/>
      <c r="B32" s="23" t="s">
        <v>165</v>
      </c>
      <c r="C32" s="19"/>
      <c r="D32" s="34"/>
      <c r="E32" s="11"/>
      <c r="F32" s="11"/>
      <c r="H32" s="92" t="str">
        <f>H24</f>
        <v>incurred for GL module</v>
      </c>
      <c r="M32" s="25" t="str">
        <f>+B32</f>
        <v>To record payment of City IT personnel salaries and benefits</v>
      </c>
    </row>
    <row r="33" spans="1:16" x14ac:dyDescent="0.5">
      <c r="A33" s="21"/>
      <c r="B33" s="92" t="s">
        <v>306</v>
      </c>
      <c r="C33" s="34"/>
      <c r="D33" s="34"/>
      <c r="E33" s="11"/>
      <c r="F33" s="11"/>
      <c r="M33" s="92" t="str">
        <f t="shared" ref="M33:M35" si="2">+B33</f>
        <v>for time spent on ERP System initial implementation stage</v>
      </c>
    </row>
    <row r="34" spans="1:16" x14ac:dyDescent="0.5">
      <c r="A34" s="21"/>
      <c r="B34" s="92" t="s">
        <v>307</v>
      </c>
      <c r="C34" s="34"/>
      <c r="D34" s="34"/>
      <c r="E34" s="11"/>
      <c r="F34" s="11"/>
      <c r="M34" s="92" t="str">
        <f t="shared" si="2"/>
        <v>work as capital outlay and time spent for training and data</v>
      </c>
    </row>
    <row r="35" spans="1:16" x14ac:dyDescent="0.5">
      <c r="A35" s="21"/>
      <c r="B35" s="92" t="s">
        <v>310</v>
      </c>
      <c r="C35" s="34"/>
      <c r="D35" s="34"/>
      <c r="E35" s="11"/>
      <c r="F35" s="11"/>
      <c r="M35" s="92" t="str">
        <f t="shared" si="2"/>
        <v>conversion work as current period expenditure/expense</v>
      </c>
    </row>
    <row r="36" spans="1:16" x14ac:dyDescent="0.5">
      <c r="A36" s="21"/>
      <c r="B36" s="92"/>
      <c r="C36" s="34"/>
      <c r="D36" s="34"/>
      <c r="E36" s="11"/>
      <c r="F36" s="11"/>
    </row>
    <row r="37" spans="1:16" x14ac:dyDescent="0.5">
      <c r="A37" s="21"/>
      <c r="B37" s="92"/>
      <c r="C37" s="34"/>
      <c r="D37" s="34"/>
      <c r="E37" s="11"/>
      <c r="F37" s="11"/>
    </row>
    <row r="38" spans="1:16" x14ac:dyDescent="0.5">
      <c r="A38" s="93" t="s">
        <v>225</v>
      </c>
      <c r="B38" s="89" t="str">
        <f>+B29</f>
        <v>Capital outlay</v>
      </c>
      <c r="C38" s="34"/>
      <c r="D38" s="34"/>
      <c r="E38" s="11">
        <f>+'Ex.2 Term &amp; Cost Classification'!I20</f>
        <v>25000</v>
      </c>
      <c r="F38" s="11"/>
      <c r="H38" s="1" t="str">
        <f>+H29</f>
        <v>Development in progress - ERP System</v>
      </c>
      <c r="J38" s="26">
        <f>+K39</f>
        <v>25000</v>
      </c>
      <c r="M38" s="1" t="str">
        <f>+H38</f>
        <v>Development in progress - ERP System</v>
      </c>
      <c r="O38" s="26">
        <f>+J38</f>
        <v>25000</v>
      </c>
    </row>
    <row r="39" spans="1:16" x14ac:dyDescent="0.5">
      <c r="A39" s="93"/>
      <c r="B39" s="89" t="str">
        <f>+B22</f>
        <v>Expenditures - current</v>
      </c>
      <c r="C39" s="34"/>
      <c r="D39" s="34"/>
      <c r="E39" s="11">
        <f>+'Ex.2 Term &amp; Cost Classification'!K20</f>
        <v>5000</v>
      </c>
      <c r="F39" s="11"/>
      <c r="I39" s="1" t="str">
        <f>+B38</f>
        <v>Capital outlay</v>
      </c>
      <c r="K39" s="26">
        <f>+E38</f>
        <v>25000</v>
      </c>
      <c r="M39" s="1" t="str">
        <f>+B39</f>
        <v>Expenditures - current</v>
      </c>
      <c r="O39" s="26">
        <f>+E39</f>
        <v>5000</v>
      </c>
    </row>
    <row r="40" spans="1:16" x14ac:dyDescent="0.5">
      <c r="A40" s="21"/>
      <c r="B40" s="92"/>
      <c r="C40" s="193" t="s">
        <v>308</v>
      </c>
      <c r="D40" s="34"/>
      <c r="E40" s="11"/>
      <c r="F40" s="11">
        <f>+E38+E39</f>
        <v>30000</v>
      </c>
      <c r="H40" s="23" t="str">
        <f t="shared" ref="H40:H41" si="3">H31</f>
        <v>To capitalize eligible subscription asset development costs</v>
      </c>
      <c r="N40" s="1" t="str">
        <f>+C40</f>
        <v>Accounts payable - GFOA</v>
      </c>
      <c r="P40" s="26">
        <f>+F40</f>
        <v>30000</v>
      </c>
    </row>
    <row r="41" spans="1:16" x14ac:dyDescent="0.5">
      <c r="A41" s="21"/>
      <c r="B41" s="23" t="s">
        <v>312</v>
      </c>
      <c r="C41" s="34"/>
      <c r="D41" s="34"/>
      <c r="E41" s="11"/>
      <c r="F41" s="11"/>
      <c r="H41" s="92" t="str">
        <f t="shared" si="3"/>
        <v>incurred for GL module</v>
      </c>
      <c r="M41" s="25" t="str">
        <f>+B41</f>
        <v>To record amount payable to GFOA for ERP System initial</v>
      </c>
    </row>
    <row r="42" spans="1:16" x14ac:dyDescent="0.5">
      <c r="A42" s="21"/>
      <c r="B42" s="92" t="s">
        <v>326</v>
      </c>
      <c r="C42" s="34"/>
      <c r="D42" s="34"/>
      <c r="E42" s="11"/>
      <c r="F42" s="11"/>
      <c r="M42" s="92" t="str">
        <f t="shared" ref="M42:M44" si="4">+B42</f>
        <v>implementation stage work as capital outlay and time</v>
      </c>
    </row>
    <row r="43" spans="1:16" x14ac:dyDescent="0.5">
      <c r="A43" s="21"/>
      <c r="B43" s="92" t="s">
        <v>327</v>
      </c>
      <c r="C43" s="34"/>
      <c r="D43" s="34"/>
      <c r="E43" s="11"/>
      <c r="F43" s="11"/>
      <c r="M43" s="92" t="str">
        <f t="shared" si="4"/>
        <v>spent for training and data conversion work as current</v>
      </c>
    </row>
    <row r="44" spans="1:16" x14ac:dyDescent="0.5">
      <c r="A44" s="21"/>
      <c r="B44" s="92" t="s">
        <v>328</v>
      </c>
      <c r="C44" s="34"/>
      <c r="D44" s="34"/>
      <c r="E44" s="11"/>
      <c r="F44" s="11"/>
      <c r="M44" s="92" t="str">
        <f t="shared" si="4"/>
        <v>period expenditure/expense</v>
      </c>
    </row>
    <row r="45" spans="1:16" x14ac:dyDescent="0.5">
      <c r="B45" s="92"/>
      <c r="C45" s="34"/>
      <c r="D45" s="34"/>
      <c r="E45" s="11"/>
      <c r="F45" s="11"/>
    </row>
    <row r="46" spans="1:16" x14ac:dyDescent="0.5">
      <c r="A46" s="17" t="s">
        <v>189</v>
      </c>
      <c r="B46" s="92"/>
      <c r="C46" s="34"/>
      <c r="D46" s="34"/>
      <c r="E46" s="11"/>
      <c r="F46" s="11"/>
    </row>
    <row r="47" spans="1:16" x14ac:dyDescent="0.5">
      <c r="A47" s="196" t="s">
        <v>105</v>
      </c>
      <c r="B47" s="89" t="str">
        <f>+B38</f>
        <v>Capital outlay</v>
      </c>
      <c r="C47" s="34"/>
      <c r="D47" s="34"/>
      <c r="E47" s="11">
        <f>+'Ex.2 City Calculations'!G21+'Ex.2 Term &amp; Cost Classification'!M21</f>
        <v>1179274.6007025924</v>
      </c>
      <c r="F47" s="11"/>
      <c r="H47" s="1" t="str">
        <f>+C48</f>
        <v>Other financing source - PERP SBITA</v>
      </c>
      <c r="J47" s="26">
        <f>+F48</f>
        <v>929275</v>
      </c>
      <c r="M47" s="1" t="str">
        <f>+H48</f>
        <v>ERP System subscription asset</v>
      </c>
      <c r="O47" s="26">
        <f>+J48</f>
        <v>2322275</v>
      </c>
    </row>
    <row r="48" spans="1:16" x14ac:dyDescent="0.5">
      <c r="A48" s="136"/>
      <c r="B48" s="92"/>
      <c r="C48" s="193" t="s">
        <v>313</v>
      </c>
      <c r="D48" s="34"/>
      <c r="E48" s="11"/>
      <c r="F48" s="11">
        <f>+'Ex.2 City Calculations'!D5</f>
        <v>929275</v>
      </c>
      <c r="H48" s="1" t="s">
        <v>357</v>
      </c>
      <c r="J48" s="26">
        <f>+'Ex.2 City Calculations'!D10</f>
        <v>2322275</v>
      </c>
      <c r="N48" s="1" t="str">
        <f>+I50</f>
        <v>Development in progress - ERP System</v>
      </c>
      <c r="P48" s="26">
        <f>+K50</f>
        <v>1143000</v>
      </c>
    </row>
    <row r="49" spans="1:16" x14ac:dyDescent="0.5">
      <c r="A49" s="136"/>
      <c r="B49" s="92"/>
      <c r="C49" s="193" t="s">
        <v>149</v>
      </c>
      <c r="D49" s="34"/>
      <c r="E49" s="11"/>
      <c r="F49" s="11">
        <f>+E47-F48</f>
        <v>249999.6007025924</v>
      </c>
      <c r="I49" s="1" t="str">
        <f>+B47</f>
        <v>Capital outlay</v>
      </c>
      <c r="K49" s="26">
        <f>+E47</f>
        <v>1179274.6007025924</v>
      </c>
      <c r="N49" s="1" t="str">
        <f>+I51</f>
        <v>Subscription liability</v>
      </c>
      <c r="P49" s="26">
        <f>+K51</f>
        <v>929275</v>
      </c>
    </row>
    <row r="50" spans="1:16" x14ac:dyDescent="0.5">
      <c r="A50" s="136"/>
      <c r="B50" s="23" t="s">
        <v>317</v>
      </c>
      <c r="C50" s="34"/>
      <c r="D50" s="34"/>
      <c r="E50" s="11"/>
      <c r="F50" s="11"/>
      <c r="I50" s="1" t="str">
        <f>+H38</f>
        <v>Development in progress - ERP System</v>
      </c>
      <c r="K50" s="26">
        <f>+J15+J21+J29+J38</f>
        <v>1143000</v>
      </c>
      <c r="N50" s="1" t="str">
        <f>+C49</f>
        <v>Cash</v>
      </c>
      <c r="P50" s="26">
        <f>+F49</f>
        <v>249999.6007025924</v>
      </c>
    </row>
    <row r="51" spans="1:16" x14ac:dyDescent="0.5">
      <c r="A51" s="136"/>
      <c r="B51" s="97" t="s">
        <v>323</v>
      </c>
      <c r="C51" s="34"/>
      <c r="D51" s="34"/>
      <c r="E51" s="11"/>
      <c r="F51" s="11"/>
      <c r="I51" s="1" t="s">
        <v>78</v>
      </c>
      <c r="K51" s="26">
        <f>+J47</f>
        <v>929275</v>
      </c>
      <c r="M51" s="25" t="str">
        <f>+B50</f>
        <v>To record inception of subscription when ERP System is placed</v>
      </c>
    </row>
    <row r="52" spans="1:16" x14ac:dyDescent="0.5">
      <c r="A52" s="136"/>
      <c r="B52" s="97" t="s">
        <v>174</v>
      </c>
      <c r="C52" s="34"/>
      <c r="D52" s="34"/>
      <c r="E52" s="11"/>
      <c r="F52" s="11"/>
      <c r="H52" s="25" t="s">
        <v>173</v>
      </c>
      <c r="J52" s="26"/>
      <c r="M52" s="92" t="str">
        <f t="shared" ref="M52:M53" si="5">+B51</f>
        <v>into service, including 2nd subscription prepayment</v>
      </c>
      <c r="O52" s="26"/>
    </row>
    <row r="53" spans="1:16" x14ac:dyDescent="0.5">
      <c r="A53" s="136"/>
      <c r="B53" s="92"/>
      <c r="C53" s="34"/>
      <c r="D53" s="34"/>
      <c r="E53" s="11"/>
      <c r="F53" s="11"/>
      <c r="H53" s="97" t="s">
        <v>374</v>
      </c>
      <c r="M53" s="92" t="str">
        <f t="shared" si="5"/>
        <v>and additional licenses and annual services for 3/4ths of year</v>
      </c>
    </row>
    <row r="54" spans="1:16" x14ac:dyDescent="0.5">
      <c r="A54" s="21"/>
      <c r="B54" s="92"/>
      <c r="C54" s="34"/>
      <c r="D54" s="34"/>
      <c r="E54" s="11"/>
      <c r="F54" s="11"/>
      <c r="H54" s="92" t="s">
        <v>375</v>
      </c>
    </row>
    <row r="55" spans="1:16" x14ac:dyDescent="0.5">
      <c r="A55" s="21"/>
      <c r="B55" s="92"/>
      <c r="C55" s="34"/>
      <c r="D55" s="34"/>
      <c r="E55" s="11"/>
      <c r="F55" s="11"/>
      <c r="H55" s="92" t="s">
        <v>376</v>
      </c>
    </row>
    <row r="56" spans="1:16" x14ac:dyDescent="0.5">
      <c r="A56" s="21"/>
      <c r="B56" s="92"/>
      <c r="C56" s="34"/>
      <c r="D56" s="34"/>
      <c r="E56" s="11"/>
      <c r="F56" s="11"/>
      <c r="H56" s="92"/>
    </row>
    <row r="57" spans="1:16" x14ac:dyDescent="0.5">
      <c r="A57" s="21"/>
      <c r="B57" s="92"/>
      <c r="C57" s="34"/>
      <c r="D57" s="34"/>
      <c r="E57" s="11"/>
      <c r="F57" s="11"/>
      <c r="M57" s="25"/>
      <c r="N57" s="19"/>
      <c r="O57" s="20"/>
      <c r="P57" s="20"/>
    </row>
    <row r="58" spans="1:16" x14ac:dyDescent="0.5">
      <c r="A58" s="93" t="s">
        <v>105</v>
      </c>
      <c r="B58" s="89" t="str">
        <f>+B47</f>
        <v>Capital outlay</v>
      </c>
      <c r="C58" s="34"/>
      <c r="D58" s="34"/>
      <c r="E58" s="11">
        <f>+'Ex.2 Term &amp; Cost Classification'!O22</f>
        <v>300000</v>
      </c>
      <c r="F58" s="11"/>
      <c r="H58" s="1" t="str">
        <f>+H48</f>
        <v>ERP System subscription asset</v>
      </c>
      <c r="J58" s="26">
        <f>+K59</f>
        <v>300000</v>
      </c>
      <c r="M58" s="1" t="str">
        <f>+H58</f>
        <v>ERP System subscription asset</v>
      </c>
      <c r="N58" s="19"/>
      <c r="O58" s="20">
        <f>+J58</f>
        <v>300000</v>
      </c>
      <c r="P58" s="20"/>
    </row>
    <row r="59" spans="1:16" x14ac:dyDescent="0.5">
      <c r="A59" s="21"/>
      <c r="B59" s="89" t="str">
        <f>+B22</f>
        <v>Expenditures - current</v>
      </c>
      <c r="C59" s="34"/>
      <c r="D59" s="34"/>
      <c r="E59" s="11">
        <f>+'Ex.2 Term &amp; Cost Classification'!Q23</f>
        <v>100000</v>
      </c>
      <c r="F59" s="11"/>
      <c r="I59" s="1" t="str">
        <f>+B58</f>
        <v>Capital outlay</v>
      </c>
      <c r="K59" s="26">
        <f>+E58</f>
        <v>300000</v>
      </c>
      <c r="M59" s="1" t="str">
        <f>+B59</f>
        <v>Expenditures - current</v>
      </c>
      <c r="N59" s="19"/>
      <c r="O59" s="20">
        <f>+E59</f>
        <v>100000</v>
      </c>
      <c r="P59" s="20"/>
    </row>
    <row r="60" spans="1:16" x14ac:dyDescent="0.5">
      <c r="A60" s="21"/>
      <c r="B60" s="92"/>
      <c r="C60" s="193" t="str">
        <f>+C23</f>
        <v>Cash or accounts payable - SLEEPS</v>
      </c>
      <c r="D60" s="34"/>
      <c r="E60" s="11"/>
      <c r="F60" s="11">
        <f>+E58+E59</f>
        <v>400000</v>
      </c>
      <c r="H60" s="23" t="str">
        <f>H40</f>
        <v>To capitalize eligible subscription asset development costs</v>
      </c>
      <c r="M60" s="25"/>
      <c r="N60" s="19" t="str">
        <f>+C60</f>
        <v>Cash or accounts payable - SLEEPS</v>
      </c>
      <c r="O60" s="20"/>
      <c r="P60" s="20">
        <f>+F60</f>
        <v>400000</v>
      </c>
    </row>
    <row r="61" spans="1:16" x14ac:dyDescent="0.5">
      <c r="A61" s="21"/>
      <c r="B61" s="197" t="s">
        <v>319</v>
      </c>
      <c r="C61" s="34"/>
      <c r="D61" s="34"/>
      <c r="E61" s="11"/>
      <c r="F61" s="11"/>
      <c r="H61" s="92" t="s">
        <v>378</v>
      </c>
      <c r="M61" s="25" t="str">
        <f>+B61</f>
        <v>To record payments to SLEEPS for aditional implementation stage</v>
      </c>
      <c r="N61" s="19"/>
      <c r="O61" s="20"/>
      <c r="P61" s="20"/>
    </row>
    <row r="62" spans="1:16" x14ac:dyDescent="0.5">
      <c r="A62" s="21"/>
      <c r="B62" s="92" t="s">
        <v>322</v>
      </c>
      <c r="C62" s="34"/>
      <c r="D62" s="34"/>
      <c r="E62" s="11"/>
      <c r="F62" s="11"/>
      <c r="M62" s="92" t="str">
        <f>+B62</f>
        <v>work on AP module and annual operating support for AP module</v>
      </c>
      <c r="N62" s="19"/>
      <c r="O62" s="20"/>
      <c r="P62" s="20"/>
    </row>
    <row r="63" spans="1:16" x14ac:dyDescent="0.5">
      <c r="A63" s="21"/>
      <c r="B63" s="92"/>
      <c r="C63" s="34"/>
      <c r="D63" s="34"/>
      <c r="E63" s="11"/>
      <c r="F63" s="11"/>
      <c r="M63" s="25"/>
      <c r="N63" s="19"/>
      <c r="O63" s="20"/>
      <c r="P63" s="20"/>
    </row>
    <row r="64" spans="1:16" x14ac:dyDescent="0.5">
      <c r="A64" s="21"/>
      <c r="B64" s="92"/>
      <c r="C64" s="34"/>
      <c r="D64" s="34"/>
      <c r="E64" s="11"/>
      <c r="F64" s="11"/>
      <c r="M64" s="25"/>
      <c r="N64" s="19"/>
      <c r="O64" s="20"/>
      <c r="P64" s="20"/>
    </row>
    <row r="65" spans="1:16" x14ac:dyDescent="0.5">
      <c r="A65" s="93" t="str">
        <f>+'Ex.2 Term &amp; Cost Classification'!A24</f>
        <v>7/31/X1</v>
      </c>
      <c r="B65" s="89" t="str">
        <f>+B58</f>
        <v>Capital outlay</v>
      </c>
      <c r="C65" s="34"/>
      <c r="D65" s="34"/>
      <c r="E65" s="11">
        <f>+'Ex.2 Term &amp; Cost Classification'!O24</f>
        <v>35000</v>
      </c>
      <c r="F65" s="11"/>
      <c r="H65" s="1" t="str">
        <f>+H58</f>
        <v>ERP System subscription asset</v>
      </c>
      <c r="J65" s="26">
        <f>+K66</f>
        <v>35000</v>
      </c>
      <c r="M65" s="1" t="str">
        <f>+H65</f>
        <v>ERP System subscription asset</v>
      </c>
      <c r="N65" s="19"/>
      <c r="O65" s="20">
        <f>+J65</f>
        <v>35000</v>
      </c>
      <c r="P65" s="20"/>
    </row>
    <row r="66" spans="1:16" x14ac:dyDescent="0.5">
      <c r="A66" s="21"/>
      <c r="B66" s="92"/>
      <c r="C66" s="193" t="str">
        <f>+C31</f>
        <v>Cash or salaries and benefits payable</v>
      </c>
      <c r="D66" s="34"/>
      <c r="E66" s="11"/>
      <c r="F66" s="11">
        <f>+E65</f>
        <v>35000</v>
      </c>
      <c r="I66" s="1" t="str">
        <f>+B65</f>
        <v>Capital outlay</v>
      </c>
      <c r="K66" s="26">
        <f>+E65</f>
        <v>35000</v>
      </c>
      <c r="M66" s="25"/>
      <c r="N66" s="19" t="str">
        <f>+C66</f>
        <v>Cash or salaries and benefits payable</v>
      </c>
      <c r="O66" s="20"/>
      <c r="P66" s="20">
        <f>+F66</f>
        <v>35000</v>
      </c>
    </row>
    <row r="67" spans="1:16" x14ac:dyDescent="0.5">
      <c r="A67" s="93"/>
      <c r="B67" s="23" t="s">
        <v>165</v>
      </c>
      <c r="E67" s="11"/>
      <c r="H67" s="23" t="str">
        <f t="shared" ref="H67:H68" si="6">H60</f>
        <v>To capitalize eligible subscription asset development costs</v>
      </c>
      <c r="M67" s="25" t="str">
        <f>+B67</f>
        <v>To record payment of City IT personnel salaries and benefits</v>
      </c>
      <c r="O67" s="26"/>
    </row>
    <row r="68" spans="1:16" x14ac:dyDescent="0.5">
      <c r="A68" s="93"/>
      <c r="B68" s="92" t="s">
        <v>320</v>
      </c>
      <c r="C68" s="19"/>
      <c r="D68" s="19"/>
      <c r="E68" s="11"/>
      <c r="F68" s="11"/>
      <c r="H68" s="92" t="str">
        <f t="shared" si="6"/>
        <v>incurred for AP module</v>
      </c>
      <c r="K68" s="26"/>
      <c r="M68" s="92" t="str">
        <f t="shared" ref="M68:M69" si="7">+B68</f>
        <v>for time spent on ERP System additional implementation</v>
      </c>
      <c r="N68" s="19"/>
      <c r="O68" s="20"/>
      <c r="P68" s="20"/>
    </row>
    <row r="69" spans="1:16" x14ac:dyDescent="0.5">
      <c r="A69" s="21"/>
      <c r="B69" s="92" t="s">
        <v>321</v>
      </c>
      <c r="C69" s="19"/>
      <c r="D69" s="19"/>
      <c r="E69" s="11"/>
      <c r="F69" s="11"/>
      <c r="H69" s="23"/>
      <c r="M69" s="92" t="str">
        <f t="shared" si="7"/>
        <v>stage work for AP module.</v>
      </c>
      <c r="N69" s="19"/>
      <c r="O69" s="20"/>
      <c r="P69" s="20"/>
    </row>
    <row r="70" spans="1:16" x14ac:dyDescent="0.5">
      <c r="A70" s="21"/>
      <c r="B70" s="92"/>
      <c r="C70" s="19"/>
      <c r="D70" s="19"/>
      <c r="E70" s="11"/>
      <c r="F70" s="11"/>
      <c r="M70" s="25"/>
      <c r="N70" s="19"/>
      <c r="O70" s="20"/>
      <c r="P70" s="20"/>
    </row>
    <row r="71" spans="1:16" x14ac:dyDescent="0.5">
      <c r="A71" s="21"/>
      <c r="B71" s="92"/>
      <c r="C71" s="34"/>
      <c r="D71" s="34"/>
      <c r="E71" s="11"/>
      <c r="F71" s="11"/>
      <c r="M71" s="92"/>
      <c r="N71" s="19"/>
      <c r="O71" s="20"/>
      <c r="P71" s="20"/>
    </row>
    <row r="72" spans="1:16" x14ac:dyDescent="0.5">
      <c r="A72" s="93" t="s">
        <v>229</v>
      </c>
      <c r="B72" s="89" t="str">
        <f>+C40</f>
        <v>Accounts payable - GFOA</v>
      </c>
      <c r="C72" s="34"/>
      <c r="D72" s="34"/>
      <c r="E72" s="11">
        <f>+F40</f>
        <v>30000</v>
      </c>
      <c r="F72" s="11"/>
      <c r="I72" s="1" t="s">
        <v>146</v>
      </c>
      <c r="M72" s="89" t="str">
        <f>+B72</f>
        <v>Accounts payable - GFOA</v>
      </c>
      <c r="N72" s="19"/>
      <c r="O72" s="20">
        <f>+E72</f>
        <v>30000</v>
      </c>
      <c r="P72" s="20"/>
    </row>
    <row r="73" spans="1:16" x14ac:dyDescent="0.5">
      <c r="A73" s="21"/>
      <c r="B73" s="92"/>
      <c r="C73" s="193" t="s">
        <v>149</v>
      </c>
      <c r="D73" s="34"/>
      <c r="E73" s="11"/>
      <c r="F73" s="11">
        <f>+E72</f>
        <v>30000</v>
      </c>
      <c r="M73" s="92"/>
      <c r="N73" s="19" t="str">
        <f>+C73</f>
        <v>Cash</v>
      </c>
      <c r="O73" s="20"/>
      <c r="P73" s="20">
        <f>+F73</f>
        <v>30000</v>
      </c>
    </row>
    <row r="74" spans="1:16" x14ac:dyDescent="0.5">
      <c r="A74" s="21"/>
      <c r="B74" s="197" t="s">
        <v>325</v>
      </c>
      <c r="C74" s="34"/>
      <c r="D74" s="34"/>
      <c r="E74" s="11"/>
      <c r="F74" s="11"/>
      <c r="M74" s="25" t="str">
        <f>+B74</f>
        <v>To record payment to GFOA for initial implementation stage work</v>
      </c>
      <c r="N74" s="19"/>
      <c r="O74" s="20"/>
      <c r="P74" s="20"/>
    </row>
    <row r="75" spans="1:16" x14ac:dyDescent="0.5">
      <c r="A75" s="21"/>
      <c r="B75" s="92" t="s">
        <v>329</v>
      </c>
      <c r="C75" s="34"/>
      <c r="D75" s="34"/>
      <c r="E75" s="11"/>
      <c r="F75" s="11"/>
      <c r="M75" s="92" t="str">
        <f>+B75</f>
        <v>(accrued on 6/30/X1)</v>
      </c>
      <c r="N75" s="23"/>
      <c r="O75" s="20"/>
      <c r="P75" s="20"/>
    </row>
    <row r="76" spans="1:16" x14ac:dyDescent="0.5">
      <c r="A76" s="93"/>
      <c r="E76" s="11"/>
      <c r="F76" s="11"/>
      <c r="J76" s="26"/>
      <c r="N76" s="19"/>
      <c r="O76" s="20"/>
      <c r="P76" s="20"/>
    </row>
    <row r="77" spans="1:16" x14ac:dyDescent="0.5">
      <c r="A77" s="93"/>
      <c r="E77" s="11"/>
      <c r="F77" s="11"/>
      <c r="J77" s="26"/>
      <c r="N77" s="19"/>
      <c r="O77" s="20"/>
      <c r="P77" s="20"/>
    </row>
    <row r="78" spans="1:16" x14ac:dyDescent="0.5">
      <c r="A78" s="196" t="str">
        <f>+'Ex.2 Term &amp; Cost Classification'!A25</f>
        <v>8/1/X1</v>
      </c>
      <c r="B78" s="1" t="str">
        <f>+B58</f>
        <v>Capital outlay</v>
      </c>
      <c r="E78" s="11">
        <f>+'Ex.2 Term &amp; Cost Classification'!O25</f>
        <v>300000</v>
      </c>
      <c r="F78" s="11"/>
      <c r="H78" s="1" t="str">
        <f>+H65</f>
        <v>ERP System subscription asset</v>
      </c>
      <c r="J78" s="26">
        <f>+K79</f>
        <v>300000</v>
      </c>
      <c r="M78" s="1" t="str">
        <f>+H78</f>
        <v>ERP System subscription asset</v>
      </c>
      <c r="N78" s="19"/>
      <c r="O78" s="20">
        <f>+J78</f>
        <v>300000</v>
      </c>
      <c r="P78" s="20"/>
    </row>
    <row r="79" spans="1:16" x14ac:dyDescent="0.5">
      <c r="A79" s="14"/>
      <c r="C79" s="1" t="str">
        <f>+C60</f>
        <v>Cash or accounts payable - SLEEPS</v>
      </c>
      <c r="E79" s="11"/>
      <c r="F79" s="11">
        <f>+E78</f>
        <v>300000</v>
      </c>
      <c r="I79" s="1" t="str">
        <f>+B78</f>
        <v>Capital outlay</v>
      </c>
      <c r="K79" s="26">
        <f>+E78</f>
        <v>300000</v>
      </c>
      <c r="M79" s="19"/>
      <c r="N79" s="1" t="str">
        <f>+C79</f>
        <v>Cash or accounts payable - SLEEPS</v>
      </c>
      <c r="O79" s="11"/>
      <c r="P79" s="11">
        <f>+O78</f>
        <v>300000</v>
      </c>
    </row>
    <row r="80" spans="1:16" x14ac:dyDescent="0.5">
      <c r="A80" s="21"/>
      <c r="B80" s="197" t="s">
        <v>330</v>
      </c>
      <c r="H80" s="25" t="str">
        <f t="shared" ref="H80:H81" si="8">H67</f>
        <v>To capitalize eligible subscription asset development costs</v>
      </c>
      <c r="M80" s="25" t="str">
        <f>+B80</f>
        <v>To record 2nd payment to SLEEPS for aditional implementation</v>
      </c>
      <c r="P80" s="26"/>
    </row>
    <row r="81" spans="1:16" x14ac:dyDescent="0.5">
      <c r="A81" s="14"/>
      <c r="B81" s="92" t="s">
        <v>331</v>
      </c>
      <c r="H81" s="92" t="str">
        <f t="shared" si="8"/>
        <v>incurred for AP module</v>
      </c>
      <c r="I81" s="22"/>
      <c r="J81" s="20"/>
      <c r="K81" s="20"/>
      <c r="M81" s="92" t="str">
        <f>+B81</f>
        <v>stage work on AP module</v>
      </c>
    </row>
    <row r="82" spans="1:16" x14ac:dyDescent="0.5">
      <c r="A82" s="14"/>
      <c r="B82" s="97"/>
      <c r="H82" s="97"/>
      <c r="I82" s="19"/>
      <c r="J82" s="20"/>
      <c r="K82" s="20"/>
      <c r="M82" s="92"/>
      <c r="O82" s="20"/>
      <c r="P82" s="20"/>
    </row>
    <row r="83" spans="1:16" x14ac:dyDescent="0.5">
      <c r="E83" s="11"/>
      <c r="F83" s="11"/>
      <c r="H83" s="92"/>
      <c r="I83" s="19"/>
      <c r="J83" s="20"/>
      <c r="K83" s="20"/>
      <c r="M83" s="92"/>
    </row>
    <row r="84" spans="1:16" x14ac:dyDescent="0.5">
      <c r="A84" s="196" t="str">
        <f>+'Ex.2 Term &amp; Cost Classification'!A26</f>
        <v>8/31/X1</v>
      </c>
      <c r="B84" s="1" t="str">
        <f>+B65</f>
        <v>Capital outlay</v>
      </c>
      <c r="C84" s="23"/>
      <c r="D84" s="23"/>
      <c r="E84" s="11">
        <f>+'Ex.2 Term &amp; Cost Classification'!O26</f>
        <v>35000</v>
      </c>
      <c r="F84" s="11"/>
      <c r="H84" s="1" t="str">
        <f>+H78</f>
        <v>ERP System subscription asset</v>
      </c>
      <c r="J84" s="26">
        <f>+K85</f>
        <v>35000</v>
      </c>
      <c r="M84" s="1" t="str">
        <f>+H84</f>
        <v>ERP System subscription asset</v>
      </c>
      <c r="N84" s="19"/>
      <c r="O84" s="20">
        <f>+J84</f>
        <v>35000</v>
      </c>
      <c r="P84" s="20"/>
    </row>
    <row r="85" spans="1:16" x14ac:dyDescent="0.5">
      <c r="A85" s="14"/>
      <c r="B85" s="19"/>
      <c r="C85" s="1" t="str">
        <f>+C66</f>
        <v>Cash or salaries and benefits payable</v>
      </c>
      <c r="D85" s="25"/>
      <c r="E85" s="11"/>
      <c r="F85" s="11">
        <f>+E84</f>
        <v>35000</v>
      </c>
      <c r="I85" s="1" t="str">
        <f>+B84</f>
        <v>Capital outlay</v>
      </c>
      <c r="K85" s="26">
        <f>+E84</f>
        <v>35000</v>
      </c>
      <c r="M85" s="25"/>
      <c r="N85" s="19" t="str">
        <f>+C85</f>
        <v>Cash or salaries and benefits payable</v>
      </c>
      <c r="O85" s="20"/>
      <c r="P85" s="20">
        <f>+F85</f>
        <v>35000</v>
      </c>
    </row>
    <row r="86" spans="1:16" x14ac:dyDescent="0.5">
      <c r="A86" s="103"/>
      <c r="B86" s="23" t="s">
        <v>165</v>
      </c>
      <c r="C86" s="25"/>
      <c r="D86" s="25"/>
      <c r="E86" s="11"/>
      <c r="F86" s="11"/>
      <c r="H86" s="25" t="str">
        <f t="shared" ref="H86:H87" si="9">H80</f>
        <v>To capitalize eligible subscription asset development costs</v>
      </c>
      <c r="M86" s="25" t="str">
        <f>+B86</f>
        <v>To record payment of City IT personnel salaries and benefits</v>
      </c>
      <c r="O86" s="26"/>
    </row>
    <row r="87" spans="1:16" x14ac:dyDescent="0.5">
      <c r="A87" s="14"/>
      <c r="B87" s="92" t="s">
        <v>320</v>
      </c>
      <c r="E87" s="11"/>
      <c r="F87" s="11"/>
      <c r="H87" s="92" t="str">
        <f t="shared" si="9"/>
        <v>incurred for AP module</v>
      </c>
      <c r="K87" s="26"/>
      <c r="M87" s="92" t="str">
        <f t="shared" ref="M87:M88" si="10">+B87</f>
        <v>for time spent on ERP System additional implementation</v>
      </c>
      <c r="N87" s="19"/>
      <c r="O87" s="20"/>
      <c r="P87" s="20"/>
    </row>
    <row r="88" spans="1:16" x14ac:dyDescent="0.5">
      <c r="A88" s="14"/>
      <c r="B88" s="92" t="s">
        <v>321</v>
      </c>
      <c r="C88" s="25"/>
      <c r="D88" s="25"/>
      <c r="E88" s="11"/>
      <c r="F88" s="11"/>
      <c r="H88" s="23"/>
      <c r="M88" s="92" t="str">
        <f t="shared" si="10"/>
        <v>stage work for AP module.</v>
      </c>
      <c r="N88" s="19"/>
      <c r="O88" s="20"/>
      <c r="P88" s="20"/>
    </row>
    <row r="89" spans="1:16" x14ac:dyDescent="0.5">
      <c r="A89" s="14"/>
      <c r="B89" s="97"/>
      <c r="C89" s="25"/>
      <c r="D89" s="25"/>
      <c r="E89" s="11"/>
      <c r="F89" s="11"/>
      <c r="H89" s="23"/>
      <c r="I89" s="19"/>
      <c r="J89" s="20"/>
      <c r="K89" s="20"/>
      <c r="M89" s="97"/>
      <c r="N89" s="19"/>
      <c r="O89" s="11"/>
      <c r="P89" s="11"/>
    </row>
    <row r="90" spans="1:16" x14ac:dyDescent="0.5">
      <c r="A90" s="14"/>
      <c r="B90" s="19"/>
      <c r="C90" s="25"/>
      <c r="D90" s="25"/>
      <c r="E90" s="11"/>
      <c r="F90" s="11"/>
      <c r="H90" s="23"/>
      <c r="I90" s="19"/>
      <c r="J90" s="20"/>
      <c r="K90" s="20"/>
      <c r="M90" s="19"/>
      <c r="N90" s="19"/>
      <c r="O90" s="11"/>
      <c r="P90" s="11"/>
    </row>
    <row r="91" spans="1:16" x14ac:dyDescent="0.5">
      <c r="A91" s="196" t="str">
        <f>+'Ex.2 Term &amp; Cost Classification'!A27</f>
        <v>9/30/X1</v>
      </c>
      <c r="B91" s="1" t="str">
        <f>+B78</f>
        <v>Capital outlay</v>
      </c>
      <c r="E91" s="11">
        <f>+'Ex.2 Term &amp; Cost Classification'!O27</f>
        <v>220000</v>
      </c>
      <c r="F91" s="11"/>
      <c r="H91" s="1" t="str">
        <f>+H78</f>
        <v>ERP System subscription asset</v>
      </c>
      <c r="J91" s="26">
        <f>+K92</f>
        <v>220000</v>
      </c>
      <c r="M91" s="1" t="str">
        <f>+H91</f>
        <v>ERP System subscription asset</v>
      </c>
      <c r="N91" s="19"/>
      <c r="O91" s="20">
        <f>+J91</f>
        <v>220000</v>
      </c>
      <c r="P91" s="20"/>
    </row>
    <row r="92" spans="1:16" x14ac:dyDescent="0.5">
      <c r="A92" s="196"/>
      <c r="B92" s="1" t="str">
        <f>+B59</f>
        <v>Expenditures - current</v>
      </c>
      <c r="E92" s="11">
        <f>+'Ex.2 Term &amp; Cost Classification'!Q27</f>
        <v>180000</v>
      </c>
      <c r="F92" s="11"/>
      <c r="I92" s="1" t="str">
        <f>+B91</f>
        <v>Capital outlay</v>
      </c>
      <c r="K92" s="26">
        <f>+E91</f>
        <v>220000</v>
      </c>
      <c r="M92" s="1" t="str">
        <f>+B92</f>
        <v>Expenditures - current</v>
      </c>
      <c r="N92" s="19"/>
      <c r="O92" s="20">
        <f>+E92</f>
        <v>180000</v>
      </c>
      <c r="P92" s="20"/>
    </row>
    <row r="93" spans="1:16" x14ac:dyDescent="0.5">
      <c r="A93" s="103"/>
      <c r="C93" s="1" t="str">
        <f>+C60</f>
        <v>Cash or accounts payable - SLEEPS</v>
      </c>
      <c r="E93" s="11"/>
      <c r="F93" s="11">
        <f>+E91+E92</f>
        <v>400000</v>
      </c>
      <c r="H93" s="25" t="str">
        <f t="shared" ref="H93:H94" si="11">H80</f>
        <v>To capitalize eligible subscription asset development costs</v>
      </c>
      <c r="M93" s="19"/>
      <c r="N93" s="1" t="str">
        <f>+C93</f>
        <v>Cash or accounts payable - SLEEPS</v>
      </c>
      <c r="O93" s="11"/>
      <c r="P93" s="11">
        <f>+F93</f>
        <v>400000</v>
      </c>
    </row>
    <row r="94" spans="1:16" x14ac:dyDescent="0.5">
      <c r="A94" s="14"/>
      <c r="B94" s="197" t="s">
        <v>334</v>
      </c>
      <c r="H94" s="92" t="str">
        <f t="shared" si="11"/>
        <v>incurred for AP module</v>
      </c>
      <c r="M94" s="25" t="str">
        <f>+B94</f>
        <v>To record 3rd payment to SLEEPS for aditional implementation</v>
      </c>
      <c r="P94" s="26"/>
    </row>
    <row r="95" spans="1:16" x14ac:dyDescent="0.5">
      <c r="A95" s="14"/>
      <c r="B95" s="92" t="s">
        <v>335</v>
      </c>
      <c r="H95" s="25"/>
      <c r="I95" s="22"/>
      <c r="J95" s="20"/>
      <c r="K95" s="20"/>
      <c r="M95" s="92" t="str">
        <f>+B95</f>
        <v>work on AP module as capital outlay and time spent for training</v>
      </c>
    </row>
    <row r="96" spans="1:16" x14ac:dyDescent="0.5">
      <c r="A96" s="14"/>
      <c r="B96" s="92" t="s">
        <v>336</v>
      </c>
      <c r="H96" s="97"/>
      <c r="I96" s="19"/>
      <c r="J96" s="20"/>
      <c r="K96" s="20"/>
      <c r="M96" s="92" t="str">
        <f>+B96</f>
        <v>and data conversion work as current period expenditure/expense</v>
      </c>
      <c r="O96" s="20"/>
      <c r="P96" s="20"/>
    </row>
    <row r="97" spans="1:27" x14ac:dyDescent="0.5">
      <c r="A97" s="14"/>
      <c r="B97" s="92"/>
      <c r="C97" s="25"/>
      <c r="D97" s="25"/>
      <c r="E97" s="11"/>
      <c r="F97" s="11"/>
      <c r="H97" s="97"/>
      <c r="I97" s="19"/>
      <c r="J97" s="20"/>
      <c r="K97" s="20"/>
      <c r="M97" s="97"/>
      <c r="N97" s="19"/>
      <c r="O97" s="20"/>
      <c r="P97" s="20"/>
    </row>
    <row r="98" spans="1:27" x14ac:dyDescent="0.5">
      <c r="A98" s="14"/>
      <c r="C98" s="25"/>
      <c r="D98" s="25"/>
      <c r="E98" s="11"/>
      <c r="F98" s="11"/>
      <c r="H98" s="97"/>
      <c r="I98" s="19"/>
      <c r="J98" s="20"/>
      <c r="K98" s="20"/>
      <c r="M98" s="89"/>
      <c r="N98" s="34"/>
      <c r="O98" s="34"/>
      <c r="P98" s="11"/>
      <c r="Q98" s="11"/>
      <c r="U98" s="26"/>
      <c r="Z98" s="26"/>
    </row>
    <row r="99" spans="1:27" x14ac:dyDescent="0.5">
      <c r="A99" s="103" t="str">
        <f>+'Ex.2 Term &amp; Cost Classification'!A28</f>
        <v>9/30/X1</v>
      </c>
      <c r="B99" s="1" t="str">
        <f>+B91</f>
        <v>Capital outlay</v>
      </c>
      <c r="C99" s="34"/>
      <c r="D99" s="34"/>
      <c r="E99" s="11">
        <f>+'Ex.2 Term &amp; Cost Classification'!O28</f>
        <v>27000</v>
      </c>
      <c r="F99" s="11"/>
      <c r="H99" s="1" t="str">
        <f>+H91</f>
        <v>ERP System subscription asset</v>
      </c>
      <c r="J99" s="26">
        <f>+K100</f>
        <v>27000</v>
      </c>
      <c r="M99" s="211" t="str">
        <f>+H99</f>
        <v>ERP System subscription asset</v>
      </c>
      <c r="N99" s="193"/>
      <c r="O99" s="212">
        <f>+J99</f>
        <v>27000</v>
      </c>
      <c r="P99" s="11"/>
      <c r="Q99" s="11"/>
      <c r="V99" s="26"/>
      <c r="Z99" s="26"/>
    </row>
    <row r="100" spans="1:27" x14ac:dyDescent="0.5">
      <c r="A100" s="14"/>
      <c r="B100" s="19" t="s">
        <v>148</v>
      </c>
      <c r="C100" s="34"/>
      <c r="D100" s="34"/>
      <c r="E100" s="11">
        <f>+'Ex.2 Term &amp; Cost Classification'!Q28</f>
        <v>8000</v>
      </c>
      <c r="F100" s="11"/>
      <c r="I100" s="1" t="str">
        <f>+B99</f>
        <v>Capital outlay</v>
      </c>
      <c r="K100" s="26">
        <f>+E99</f>
        <v>27000</v>
      </c>
      <c r="M100" s="211" t="str">
        <f>+B100</f>
        <v>Salaries and benefits expenditures/expense</v>
      </c>
      <c r="N100" s="193"/>
      <c r="O100" s="212">
        <f>+E100</f>
        <v>8000</v>
      </c>
      <c r="P100" s="11"/>
      <c r="Q100" s="11"/>
      <c r="S100" s="23"/>
      <c r="AA100" s="26"/>
    </row>
    <row r="101" spans="1:27" x14ac:dyDescent="0.5">
      <c r="A101" s="14"/>
      <c r="B101" s="92"/>
      <c r="C101" s="193" t="s">
        <v>332</v>
      </c>
      <c r="D101" s="34"/>
      <c r="E101" s="11"/>
      <c r="F101" s="11">
        <f>+E99+E100</f>
        <v>35000</v>
      </c>
      <c r="H101" s="25" t="str">
        <f t="shared" ref="H101:H102" si="12">H93</f>
        <v>To capitalize eligible subscription asset development costs</v>
      </c>
      <c r="M101" s="193"/>
      <c r="N101" s="193" t="str">
        <f>+C101</f>
        <v>Cash or salaries and benefits payable</v>
      </c>
      <c r="O101" s="34"/>
      <c r="P101" s="11">
        <f>+F101</f>
        <v>35000</v>
      </c>
      <c r="Q101" s="11"/>
      <c r="X101" s="25"/>
    </row>
    <row r="102" spans="1:27" x14ac:dyDescent="0.5">
      <c r="A102" s="14"/>
      <c r="B102" s="23" t="s">
        <v>165</v>
      </c>
      <c r="C102" s="19"/>
      <c r="D102" s="34"/>
      <c r="E102" s="11"/>
      <c r="F102" s="11"/>
      <c r="H102" s="92" t="str">
        <f t="shared" si="12"/>
        <v>incurred for AP module</v>
      </c>
      <c r="M102" s="23" t="str">
        <f>+B102</f>
        <v>To record payment of City IT personnel salaries and benefits</v>
      </c>
      <c r="N102" s="34"/>
      <c r="O102" s="34"/>
      <c r="P102" s="11"/>
      <c r="Q102" s="11"/>
      <c r="X102" s="25"/>
    </row>
    <row r="103" spans="1:27" x14ac:dyDescent="0.5">
      <c r="A103" s="14"/>
      <c r="B103" s="92" t="s">
        <v>320</v>
      </c>
      <c r="C103" s="34"/>
      <c r="D103" s="34"/>
      <c r="E103" s="11"/>
      <c r="F103" s="11"/>
      <c r="M103" s="97" t="str">
        <f>+B103</f>
        <v>for time spent on ERP System additional implementation</v>
      </c>
      <c r="N103" s="34"/>
      <c r="O103" s="34"/>
      <c r="P103" s="11"/>
      <c r="Q103" s="11"/>
      <c r="X103" s="25"/>
    </row>
    <row r="104" spans="1:27" x14ac:dyDescent="0.5">
      <c r="A104" s="136"/>
      <c r="B104" s="92" t="s">
        <v>337</v>
      </c>
      <c r="C104" s="34"/>
      <c r="D104" s="34"/>
      <c r="E104" s="11"/>
      <c r="F104" s="11"/>
      <c r="M104" s="97" t="str">
        <f>+B104</f>
        <v xml:space="preserve">work as capital outlay for AP module and time spent for training </v>
      </c>
      <c r="N104" s="34"/>
      <c r="O104" s="34"/>
      <c r="P104" s="11"/>
      <c r="Q104" s="11"/>
      <c r="X104" s="25"/>
    </row>
    <row r="105" spans="1:27" x14ac:dyDescent="0.5">
      <c r="A105" s="93"/>
      <c r="B105" s="92" t="s">
        <v>336</v>
      </c>
      <c r="C105" s="34"/>
      <c r="D105" s="34"/>
      <c r="E105" s="11"/>
      <c r="F105" s="11"/>
      <c r="M105" s="97" t="str">
        <f>+B105</f>
        <v>and data conversion work as current period expenditure/expense</v>
      </c>
    </row>
    <row r="106" spans="1:27" x14ac:dyDescent="0.5">
      <c r="A106" s="21"/>
      <c r="C106" s="19"/>
      <c r="D106" s="19"/>
      <c r="E106" s="11"/>
      <c r="F106" s="11"/>
      <c r="J106" s="26"/>
      <c r="K106" s="26"/>
      <c r="O106" s="26"/>
      <c r="P106" s="26"/>
    </row>
    <row r="107" spans="1:27" x14ac:dyDescent="0.5">
      <c r="A107" s="14"/>
      <c r="E107" s="11"/>
      <c r="F107" s="11"/>
      <c r="H107" s="25"/>
      <c r="I107" s="22"/>
      <c r="K107" s="20"/>
      <c r="M107" s="22"/>
      <c r="O107" s="20"/>
      <c r="P107" s="20"/>
    </row>
    <row r="108" spans="1:27" x14ac:dyDescent="0.5">
      <c r="A108" s="196" t="str">
        <f>+'Ex.2 Term &amp; Cost Classification'!A29</f>
        <v>9/30/X1</v>
      </c>
      <c r="B108" s="89" t="str">
        <f>+B99</f>
        <v>Capital outlay</v>
      </c>
      <c r="C108" s="34"/>
      <c r="D108" s="34"/>
      <c r="E108" s="11">
        <f>+'Ex.2 Term &amp; Cost Classification'!O29</f>
        <v>25000</v>
      </c>
      <c r="F108" s="11"/>
      <c r="H108" s="1" t="str">
        <f>+H99</f>
        <v>ERP System subscription asset</v>
      </c>
      <c r="J108" s="26">
        <f>+K109</f>
        <v>25000</v>
      </c>
      <c r="M108" s="1" t="str">
        <f>+H108</f>
        <v>ERP System subscription asset</v>
      </c>
      <c r="O108" s="26">
        <f>+J108</f>
        <v>25000</v>
      </c>
    </row>
    <row r="109" spans="1:27" x14ac:dyDescent="0.5">
      <c r="B109" s="89" t="str">
        <f>+B92</f>
        <v>Expenditures - current</v>
      </c>
      <c r="C109" s="34"/>
      <c r="D109" s="34"/>
      <c r="E109" s="11">
        <f>+'Ex.2 Term &amp; Cost Classification'!Q29</f>
        <v>5000</v>
      </c>
      <c r="F109" s="11"/>
      <c r="I109" s="1" t="str">
        <f>+B108</f>
        <v>Capital outlay</v>
      </c>
      <c r="K109" s="26">
        <f>+E108</f>
        <v>25000</v>
      </c>
      <c r="M109" s="1" t="str">
        <f>+B109</f>
        <v>Expenditures - current</v>
      </c>
      <c r="O109" s="26">
        <f>+E109</f>
        <v>5000</v>
      </c>
    </row>
    <row r="110" spans="1:27" x14ac:dyDescent="0.5">
      <c r="B110" s="92"/>
      <c r="C110" s="193" t="s">
        <v>308</v>
      </c>
      <c r="D110" s="34"/>
      <c r="E110" s="11"/>
      <c r="F110" s="11">
        <f>+E108+E109</f>
        <v>30000</v>
      </c>
      <c r="H110" s="23" t="str">
        <f t="shared" ref="H110:H111" si="13">H101</f>
        <v>To capitalize eligible subscription asset development costs</v>
      </c>
      <c r="N110" s="1" t="str">
        <f>+C110</f>
        <v>Accounts payable - GFOA</v>
      </c>
      <c r="P110" s="26">
        <f>+F110</f>
        <v>30000</v>
      </c>
    </row>
    <row r="111" spans="1:27" x14ac:dyDescent="0.5">
      <c r="B111" s="23" t="s">
        <v>340</v>
      </c>
      <c r="C111" s="34"/>
      <c r="D111" s="34"/>
      <c r="E111" s="11"/>
      <c r="F111" s="11"/>
      <c r="H111" s="92" t="str">
        <f t="shared" si="13"/>
        <v>incurred for AP module</v>
      </c>
      <c r="M111" s="25" t="str">
        <f>+B111</f>
        <v>To record amount payable to GFOA for ERP System additional</v>
      </c>
    </row>
    <row r="112" spans="1:27" x14ac:dyDescent="0.5">
      <c r="B112" s="92" t="s">
        <v>342</v>
      </c>
      <c r="C112" s="34"/>
      <c r="D112" s="34"/>
      <c r="E112" s="11"/>
      <c r="F112" s="11"/>
      <c r="M112" s="92" t="str">
        <f t="shared" ref="M112:M114" si="14">+B112</f>
        <v xml:space="preserve">implementation work on AP module as capital outlay and time </v>
      </c>
    </row>
    <row r="113" spans="1:16" x14ac:dyDescent="0.5">
      <c r="B113" s="92" t="s">
        <v>343</v>
      </c>
      <c r="C113" s="34"/>
      <c r="D113" s="34"/>
      <c r="E113" s="11"/>
      <c r="F113" s="11"/>
      <c r="M113" s="92" t="str">
        <f t="shared" si="14"/>
        <v>spent for training and data conversion work as current period</v>
      </c>
    </row>
    <row r="114" spans="1:16" x14ac:dyDescent="0.5">
      <c r="A114" s="103"/>
      <c r="B114" s="92" t="s">
        <v>341</v>
      </c>
      <c r="C114" s="34"/>
      <c r="D114" s="34"/>
      <c r="E114" s="11"/>
      <c r="F114" s="11"/>
      <c r="M114" s="92" t="str">
        <f t="shared" si="14"/>
        <v xml:space="preserve"> expenditure/expense</v>
      </c>
    </row>
    <row r="115" spans="1:16" x14ac:dyDescent="0.5">
      <c r="A115" s="14"/>
      <c r="B115" s="19"/>
      <c r="E115" s="11"/>
      <c r="F115" s="11"/>
      <c r="H115" s="23"/>
      <c r="I115" s="19"/>
      <c r="J115" s="20"/>
      <c r="K115" s="20"/>
      <c r="M115" s="19"/>
      <c r="N115" s="19"/>
      <c r="O115" s="11"/>
      <c r="P115" s="11"/>
    </row>
    <row r="116" spans="1:16" x14ac:dyDescent="0.5">
      <c r="A116" s="14"/>
      <c r="B116" s="19"/>
      <c r="E116" s="11"/>
      <c r="F116" s="11"/>
      <c r="H116" s="23"/>
      <c r="I116" s="19"/>
      <c r="J116" s="20"/>
      <c r="K116" s="20"/>
      <c r="M116" s="19"/>
      <c r="N116" s="19"/>
      <c r="O116" s="11"/>
      <c r="P116" s="11"/>
    </row>
    <row r="117" spans="1:16" x14ac:dyDescent="0.5">
      <c r="A117" s="196" t="str">
        <f>+'Ex.2 Term &amp; Cost Classification'!A30</f>
        <v>10/1/X1</v>
      </c>
      <c r="B117" s="19" t="str">
        <f>+B109</f>
        <v>Expenditures - current</v>
      </c>
      <c r="E117" s="11">
        <f>+'Ex.2 Term &amp; Cost Classification'!Q30</f>
        <v>50000</v>
      </c>
      <c r="F117" s="11"/>
      <c r="H117" s="23"/>
      <c r="I117" s="1" t="s">
        <v>146</v>
      </c>
      <c r="J117" s="20"/>
      <c r="K117" s="20"/>
      <c r="M117" s="19" t="str">
        <f>+B117</f>
        <v>Expenditures - current</v>
      </c>
      <c r="N117" s="19"/>
      <c r="O117" s="11">
        <f>+E117</f>
        <v>50000</v>
      </c>
      <c r="P117" s="11"/>
    </row>
    <row r="118" spans="1:16" x14ac:dyDescent="0.5">
      <c r="A118" s="14"/>
      <c r="B118" s="19"/>
      <c r="C118" s="1" t="str">
        <f>+C93</f>
        <v>Cash or accounts payable - SLEEPS</v>
      </c>
      <c r="E118" s="11"/>
      <c r="F118" s="11">
        <f>+E117</f>
        <v>50000</v>
      </c>
      <c r="H118" s="23"/>
      <c r="I118" s="19"/>
      <c r="J118" s="20"/>
      <c r="K118" s="20"/>
      <c r="M118" s="19"/>
      <c r="N118" s="19" t="str">
        <f>+C118</f>
        <v>Cash or accounts payable - SLEEPS</v>
      </c>
      <c r="O118" s="11"/>
      <c r="P118" s="11">
        <f>+F118</f>
        <v>50000</v>
      </c>
    </row>
    <row r="119" spans="1:16" x14ac:dyDescent="0.5">
      <c r="A119" s="14"/>
      <c r="B119" s="197" t="s">
        <v>347</v>
      </c>
      <c r="E119" s="11"/>
      <c r="F119" s="11"/>
      <c r="H119" s="23"/>
      <c r="I119" s="19"/>
      <c r="J119" s="20"/>
      <c r="K119" s="20"/>
      <c r="M119" s="23" t="str">
        <f>+B119</f>
        <v>To record payments to SLEEPS for annual operating support for</v>
      </c>
      <c r="N119" s="19"/>
      <c r="O119" s="11"/>
      <c r="P119" s="11"/>
    </row>
    <row r="120" spans="1:16" x14ac:dyDescent="0.5">
      <c r="A120" s="14"/>
      <c r="B120" s="92" t="s">
        <v>346</v>
      </c>
      <c r="E120" s="11"/>
      <c r="F120" s="11"/>
      <c r="H120" s="23"/>
      <c r="I120" s="19"/>
      <c r="J120" s="20"/>
      <c r="K120" s="20"/>
      <c r="M120" s="97" t="str">
        <f>+B120</f>
        <v>AP module</v>
      </c>
      <c r="N120" s="19"/>
      <c r="O120" s="11"/>
      <c r="P120" s="11"/>
    </row>
    <row r="121" spans="1:16" x14ac:dyDescent="0.5">
      <c r="A121" s="14"/>
      <c r="B121" s="19"/>
      <c r="E121" s="11"/>
      <c r="F121" s="11"/>
      <c r="H121" s="23"/>
      <c r="I121" s="19"/>
      <c r="J121" s="20"/>
      <c r="K121" s="20"/>
      <c r="M121" s="19"/>
      <c r="N121" s="19"/>
      <c r="O121" s="11"/>
      <c r="P121" s="11"/>
    </row>
    <row r="122" spans="1:16" x14ac:dyDescent="0.5">
      <c r="A122" s="14"/>
      <c r="B122" s="19"/>
      <c r="E122" s="11"/>
      <c r="F122" s="11"/>
      <c r="H122" s="23"/>
      <c r="I122" s="19"/>
      <c r="J122" s="20"/>
      <c r="K122" s="20"/>
      <c r="M122" s="19"/>
      <c r="N122" s="19"/>
      <c r="O122" s="11"/>
      <c r="P122" s="11"/>
    </row>
    <row r="123" spans="1:16" x14ac:dyDescent="0.5">
      <c r="A123" s="196" t="s">
        <v>231</v>
      </c>
      <c r="B123" s="89" t="str">
        <f>+C110</f>
        <v>Accounts payable - GFOA</v>
      </c>
      <c r="C123" s="34"/>
      <c r="D123" s="34"/>
      <c r="E123" s="11">
        <f>+F110</f>
        <v>30000</v>
      </c>
      <c r="F123" s="11"/>
      <c r="I123" s="1" t="s">
        <v>146</v>
      </c>
      <c r="M123" s="89" t="str">
        <f>+B123</f>
        <v>Accounts payable - GFOA</v>
      </c>
      <c r="N123" s="19"/>
      <c r="O123" s="20">
        <f>+E123</f>
        <v>30000</v>
      </c>
      <c r="P123" s="20"/>
    </row>
    <row r="124" spans="1:16" x14ac:dyDescent="0.5">
      <c r="A124" s="14"/>
      <c r="B124" s="92"/>
      <c r="C124" s="193" t="s">
        <v>149</v>
      </c>
      <c r="D124" s="34"/>
      <c r="E124" s="11"/>
      <c r="F124" s="11">
        <f>+E123</f>
        <v>30000</v>
      </c>
      <c r="M124" s="92"/>
      <c r="N124" s="19" t="str">
        <f>+C124</f>
        <v>Cash</v>
      </c>
      <c r="O124" s="20"/>
      <c r="P124" s="20">
        <f>+F124</f>
        <v>30000</v>
      </c>
    </row>
    <row r="125" spans="1:16" x14ac:dyDescent="0.5">
      <c r="A125" s="14"/>
      <c r="B125" s="197" t="s">
        <v>325</v>
      </c>
      <c r="C125" s="34"/>
      <c r="D125" s="34"/>
      <c r="E125" s="11"/>
      <c r="F125" s="11"/>
      <c r="M125" s="25" t="str">
        <f>+B125</f>
        <v>To record payment to GFOA for initial implementation stage work</v>
      </c>
      <c r="N125" s="19"/>
      <c r="O125" s="20"/>
      <c r="P125" s="20"/>
    </row>
    <row r="126" spans="1:16" x14ac:dyDescent="0.5">
      <c r="B126" s="92" t="s">
        <v>344</v>
      </c>
      <c r="C126" s="34"/>
      <c r="D126" s="34"/>
      <c r="E126" s="11"/>
      <c r="F126" s="11"/>
      <c r="M126" s="92" t="str">
        <f>+B126</f>
        <v>(accrued on 9/30/X1)</v>
      </c>
      <c r="N126" s="23"/>
      <c r="O126" s="20"/>
      <c r="P126" s="20"/>
    </row>
    <row r="127" spans="1:16" x14ac:dyDescent="0.5">
      <c r="B127" s="92"/>
      <c r="C127" s="34"/>
      <c r="D127" s="34"/>
      <c r="E127" s="11"/>
      <c r="F127" s="11"/>
      <c r="M127" s="92"/>
      <c r="N127" s="23"/>
      <c r="O127" s="20"/>
      <c r="P127" s="20"/>
    </row>
    <row r="128" spans="1:16" x14ac:dyDescent="0.5">
      <c r="B128" s="92"/>
      <c r="C128" s="34"/>
      <c r="D128" s="34"/>
      <c r="E128" s="11"/>
      <c r="F128" s="11"/>
      <c r="M128" s="92"/>
      <c r="N128" s="23"/>
      <c r="O128" s="20"/>
      <c r="P128" s="20"/>
    </row>
    <row r="129" spans="1:16" x14ac:dyDescent="0.5">
      <c r="A129" s="196" t="str">
        <f>+'Ex.2 Term &amp; Cost Classification'!A31</f>
        <v>1/1/X2</v>
      </c>
      <c r="B129" s="89" t="s">
        <v>351</v>
      </c>
      <c r="C129" s="34"/>
      <c r="D129" s="34"/>
      <c r="E129" s="11">
        <f>+'Ex.2 City Calculations'!J17</f>
        <v>222121.75</v>
      </c>
      <c r="F129" s="11"/>
      <c r="H129" s="22" t="s">
        <v>78</v>
      </c>
      <c r="I129" s="28"/>
      <c r="J129" s="20">
        <f>+K131</f>
        <v>222121.75</v>
      </c>
      <c r="K129" s="20"/>
      <c r="M129" s="22" t="str">
        <f>+H129</f>
        <v>Subscription liability</v>
      </c>
      <c r="N129" s="23"/>
      <c r="O129" s="20">
        <f>+J129</f>
        <v>222121.75</v>
      </c>
      <c r="P129" s="20"/>
    </row>
    <row r="130" spans="1:16" x14ac:dyDescent="0.5">
      <c r="B130" s="89" t="s">
        <v>348</v>
      </c>
      <c r="C130" s="34"/>
      <c r="D130" s="34"/>
      <c r="E130" s="11">
        <f>+'Ex.2 City Calculations'!I17</f>
        <v>27878.25</v>
      </c>
      <c r="F130" s="11"/>
      <c r="H130" s="1" t="s">
        <v>186</v>
      </c>
      <c r="J130" s="20">
        <f>+K132</f>
        <v>27878.25</v>
      </c>
      <c r="K130" s="26"/>
      <c r="M130" s="1" t="str">
        <f>+H130</f>
        <v>Subscription interest expense</v>
      </c>
      <c r="N130" s="23"/>
      <c r="O130" s="20">
        <f>+J130</f>
        <v>27878.25</v>
      </c>
      <c r="P130" s="20"/>
    </row>
    <row r="131" spans="1:16" x14ac:dyDescent="0.5">
      <c r="B131" s="92"/>
      <c r="C131" s="193" t="str">
        <f>+C124</f>
        <v>Cash</v>
      </c>
      <c r="D131" s="34"/>
      <c r="E131" s="11"/>
      <c r="F131" s="11">
        <f>+E129+E130</f>
        <v>250000</v>
      </c>
      <c r="H131" s="25"/>
      <c r="I131" s="22" t="str">
        <f>+B129</f>
        <v>Debt Service expenditure - subscription principal</v>
      </c>
      <c r="K131" s="20">
        <f>+E129</f>
        <v>222121.75</v>
      </c>
      <c r="M131" s="92"/>
      <c r="N131" s="19" t="str">
        <f>+C131</f>
        <v>Cash</v>
      </c>
      <c r="O131" s="20"/>
      <c r="P131" s="20">
        <f>+F131</f>
        <v>250000</v>
      </c>
    </row>
    <row r="132" spans="1:16" x14ac:dyDescent="0.5">
      <c r="B132" s="197" t="s">
        <v>349</v>
      </c>
      <c r="C132" s="34"/>
      <c r="D132" s="34"/>
      <c r="E132" s="11"/>
      <c r="F132" s="11"/>
      <c r="I132" s="1" t="str">
        <f>+B130</f>
        <v>Debt Service expenditure - SBITA interest</v>
      </c>
      <c r="K132" s="26">
        <f>+E130</f>
        <v>27878.25</v>
      </c>
      <c r="M132" s="197" t="str">
        <f>+B132</f>
        <v>To record subscription payment to PERP for right to use ERP</v>
      </c>
      <c r="N132" s="23"/>
      <c r="O132" s="20"/>
      <c r="P132" s="20"/>
    </row>
    <row r="133" spans="1:16" x14ac:dyDescent="0.5">
      <c r="B133" s="92" t="s">
        <v>354</v>
      </c>
      <c r="C133" s="34"/>
      <c r="D133" s="34"/>
      <c r="E133" s="11"/>
      <c r="F133" s="11"/>
      <c r="H133" s="25" t="s">
        <v>194</v>
      </c>
      <c r="M133" s="92" t="str">
        <f>+B133</f>
        <v>System IT assets 1/1 - 6/30/X2</v>
      </c>
      <c r="N133" s="23"/>
      <c r="O133" s="20"/>
      <c r="P133" s="20"/>
    </row>
    <row r="134" spans="1:16" x14ac:dyDescent="0.5">
      <c r="B134" s="25"/>
      <c r="C134" s="34"/>
      <c r="D134" s="34"/>
      <c r="E134" s="11"/>
      <c r="F134" s="11"/>
      <c r="H134" s="92" t="s">
        <v>353</v>
      </c>
      <c r="M134" s="92"/>
      <c r="N134" s="23"/>
      <c r="O134" s="20"/>
      <c r="P134" s="20"/>
    </row>
    <row r="135" spans="1:16" x14ac:dyDescent="0.5">
      <c r="B135" s="25"/>
      <c r="C135" s="34"/>
      <c r="D135" s="34"/>
      <c r="E135" s="11"/>
      <c r="F135" s="11"/>
      <c r="H135" s="92"/>
      <c r="M135" s="92"/>
      <c r="N135" s="23"/>
      <c r="O135" s="20"/>
      <c r="P135" s="20"/>
    </row>
    <row r="136" spans="1:16" x14ac:dyDescent="0.5">
      <c r="B136" s="25"/>
      <c r="C136" s="34"/>
      <c r="D136" s="34"/>
      <c r="E136" s="11"/>
      <c r="F136" s="11"/>
      <c r="H136" s="92"/>
      <c r="M136" s="92"/>
      <c r="N136" s="23"/>
      <c r="O136" s="20"/>
      <c r="P136" s="20"/>
    </row>
    <row r="137" spans="1:16" x14ac:dyDescent="0.5">
      <c r="A137" s="196" t="str">
        <f>+'Ex.2 Term &amp; Cost Classification'!A32</f>
        <v>1/1/X2</v>
      </c>
      <c r="B137" s="19" t="str">
        <f>+B117</f>
        <v>Expenditures - current</v>
      </c>
      <c r="E137" s="11">
        <f>+'Ex.2 Term &amp; Cost Classification'!Q32</f>
        <v>400000</v>
      </c>
      <c r="F137" s="11"/>
      <c r="H137" s="23"/>
      <c r="I137" s="1" t="s">
        <v>146</v>
      </c>
      <c r="J137" s="20"/>
      <c r="K137" s="20"/>
      <c r="M137" s="19" t="str">
        <f>+B137</f>
        <v>Expenditures - current</v>
      </c>
      <c r="N137" s="19"/>
      <c r="O137" s="11">
        <f>+E137</f>
        <v>400000</v>
      </c>
      <c r="P137" s="11"/>
    </row>
    <row r="138" spans="1:16" x14ac:dyDescent="0.5">
      <c r="B138" s="19"/>
      <c r="C138" s="1" t="str">
        <f>+C118</f>
        <v>Cash or accounts payable - SLEEPS</v>
      </c>
      <c r="E138" s="11"/>
      <c r="F138" s="11">
        <f>+E137</f>
        <v>400000</v>
      </c>
      <c r="H138" s="23"/>
      <c r="I138" s="19"/>
      <c r="J138" s="20"/>
      <c r="K138" s="20"/>
      <c r="M138" s="19"/>
      <c r="N138" s="19" t="str">
        <f>+C138</f>
        <v>Cash or accounts payable - SLEEPS</v>
      </c>
      <c r="O138" s="11"/>
      <c r="P138" s="11">
        <f>+F138</f>
        <v>400000</v>
      </c>
    </row>
    <row r="139" spans="1:16" x14ac:dyDescent="0.5">
      <c r="B139" s="197" t="s">
        <v>347</v>
      </c>
      <c r="E139" s="11"/>
      <c r="F139" s="11"/>
      <c r="H139" s="23"/>
      <c r="I139" s="19"/>
      <c r="J139" s="20"/>
      <c r="K139" s="20"/>
      <c r="M139" s="23" t="str">
        <f>+B139</f>
        <v>To record payments to SLEEPS for annual operating support for</v>
      </c>
      <c r="N139" s="19"/>
      <c r="O139" s="11"/>
      <c r="P139" s="11"/>
    </row>
    <row r="140" spans="1:16" x14ac:dyDescent="0.5">
      <c r="B140" s="92" t="s">
        <v>352</v>
      </c>
      <c r="E140" s="11"/>
      <c r="F140" s="11"/>
      <c r="H140" s="23"/>
      <c r="I140" s="19"/>
      <c r="J140" s="20"/>
      <c r="K140" s="20"/>
      <c r="M140" s="97" t="str">
        <f>+B140</f>
        <v>GL and AP modules</v>
      </c>
      <c r="N140" s="19"/>
      <c r="O140" s="11"/>
      <c r="P140" s="11"/>
    </row>
    <row r="141" spans="1:16" x14ac:dyDescent="0.5">
      <c r="B141" s="25"/>
      <c r="C141" s="34"/>
      <c r="D141" s="34"/>
      <c r="E141" s="11"/>
      <c r="F141" s="11"/>
      <c r="H141" s="92"/>
      <c r="M141" s="92"/>
      <c r="N141" s="23"/>
      <c r="O141" s="20"/>
      <c r="P141" s="20"/>
    </row>
    <row r="142" spans="1:16" x14ac:dyDescent="0.5">
      <c r="B142" s="25"/>
      <c r="C142" s="34"/>
      <c r="D142" s="34"/>
      <c r="E142" s="11"/>
      <c r="F142" s="11"/>
      <c r="H142" s="92"/>
      <c r="M142" s="92"/>
      <c r="N142" s="23"/>
      <c r="O142" s="20"/>
      <c r="P142" s="20"/>
    </row>
    <row r="143" spans="1:16" x14ac:dyDescent="0.5">
      <c r="A143" s="196" t="s">
        <v>291</v>
      </c>
      <c r="B143" s="25"/>
      <c r="C143" s="1" t="s">
        <v>146</v>
      </c>
      <c r="D143" s="34"/>
      <c r="E143" s="11"/>
      <c r="F143" s="11"/>
      <c r="H143" s="89" t="s">
        <v>181</v>
      </c>
      <c r="J143" s="215">
        <f>+'Ex.2 City Calculations'!K35</f>
        <v>1242910.0000000002</v>
      </c>
      <c r="M143" s="89" t="str">
        <f>+H143</f>
        <v>Amortization expense</v>
      </c>
      <c r="O143" s="20">
        <f>+J143</f>
        <v>1242910.0000000002</v>
      </c>
      <c r="P143" s="20"/>
    </row>
    <row r="144" spans="1:16" x14ac:dyDescent="0.5">
      <c r="B144" s="25"/>
      <c r="C144" s="34"/>
      <c r="D144" s="34"/>
      <c r="E144" s="11"/>
      <c r="F144" s="11"/>
      <c r="H144" s="92"/>
      <c r="I144" s="1" t="s">
        <v>358</v>
      </c>
      <c r="K144" s="26">
        <f>+J143</f>
        <v>1242910.0000000002</v>
      </c>
      <c r="M144" s="92"/>
      <c r="N144" s="1" t="str">
        <f>+I144</f>
        <v>Accumulated amortization - ERP Subscription asset</v>
      </c>
      <c r="O144" s="20"/>
      <c r="P144" s="20">
        <f>+K144</f>
        <v>1242910.0000000002</v>
      </c>
    </row>
    <row r="145" spans="1:16" x14ac:dyDescent="0.5">
      <c r="B145" s="25"/>
      <c r="C145" s="34"/>
      <c r="D145" s="34"/>
      <c r="E145" s="11"/>
      <c r="F145" s="11"/>
      <c r="H145" s="23" t="s">
        <v>379</v>
      </c>
      <c r="M145" s="197" t="str">
        <f>+H145</f>
        <v>To record amortization of subscription asset for FYE 20X2</v>
      </c>
      <c r="N145" s="23"/>
      <c r="O145" s="20"/>
      <c r="P145" s="20"/>
    </row>
    <row r="146" spans="1:16" x14ac:dyDescent="0.5">
      <c r="B146" s="25"/>
      <c r="C146" s="34"/>
      <c r="D146" s="34"/>
      <c r="E146" s="11"/>
      <c r="F146" s="11"/>
      <c r="H146" s="92"/>
      <c r="M146" s="92"/>
      <c r="N146" s="23"/>
      <c r="O146" s="20"/>
      <c r="P146" s="20"/>
    </row>
    <row r="147" spans="1:16" x14ac:dyDescent="0.5">
      <c r="B147" s="25"/>
      <c r="C147" s="34"/>
      <c r="D147" s="34"/>
      <c r="E147" s="11"/>
      <c r="F147" s="11"/>
      <c r="H147" s="92"/>
      <c r="M147" s="92"/>
      <c r="N147" s="23"/>
      <c r="O147" s="20"/>
      <c r="P147" s="20"/>
    </row>
    <row r="148" spans="1:16" x14ac:dyDescent="0.5">
      <c r="A148" s="17" t="s">
        <v>205</v>
      </c>
      <c r="B148" s="25"/>
      <c r="C148" s="34"/>
      <c r="D148" s="34"/>
      <c r="E148" s="11"/>
      <c r="F148" s="11"/>
      <c r="H148" s="92"/>
      <c r="M148" s="92"/>
      <c r="N148" s="23"/>
      <c r="O148" s="20"/>
      <c r="P148" s="20"/>
    </row>
    <row r="149" spans="1:16" x14ac:dyDescent="0.5">
      <c r="A149" s="196" t="str">
        <f>+'Ex.2 Term &amp; Cost Classification'!A33</f>
        <v>7/1/X2</v>
      </c>
      <c r="B149" s="89" t="s">
        <v>351</v>
      </c>
      <c r="C149" s="34"/>
      <c r="D149" s="34"/>
      <c r="E149" s="11">
        <f>+'Ex.2 City Calculations'!J18</f>
        <v>228785.4025</v>
      </c>
      <c r="F149" s="11"/>
      <c r="H149" s="22" t="s">
        <v>78</v>
      </c>
      <c r="I149" s="28"/>
      <c r="J149" s="20">
        <f>+K151</f>
        <v>228785.4025</v>
      </c>
      <c r="K149" s="20"/>
      <c r="M149" s="22" t="str">
        <f>+H149</f>
        <v>Subscription liability</v>
      </c>
      <c r="N149" s="23"/>
      <c r="O149" s="20">
        <f>+J149</f>
        <v>228785.4025</v>
      </c>
      <c r="P149" s="20"/>
    </row>
    <row r="150" spans="1:16" x14ac:dyDescent="0.5">
      <c r="B150" s="89" t="s">
        <v>348</v>
      </c>
      <c r="C150" s="34"/>
      <c r="D150" s="34"/>
      <c r="E150" s="11">
        <f>+'Ex.2 City Calculations'!I18</f>
        <v>21214.5975</v>
      </c>
      <c r="F150" s="11"/>
      <c r="H150" s="1" t="s">
        <v>186</v>
      </c>
      <c r="J150" s="20">
        <f>+K152</f>
        <v>21214.5975</v>
      </c>
      <c r="K150" s="26"/>
      <c r="M150" s="1" t="str">
        <f>+H150</f>
        <v>Subscription interest expense</v>
      </c>
      <c r="N150" s="23"/>
      <c r="O150" s="20">
        <f>+J150</f>
        <v>21214.5975</v>
      </c>
      <c r="P150" s="20"/>
    </row>
    <row r="151" spans="1:16" x14ac:dyDescent="0.5">
      <c r="B151" s="92"/>
      <c r="C151" s="193" t="str">
        <f>+C138</f>
        <v>Cash or accounts payable - SLEEPS</v>
      </c>
      <c r="D151" s="34"/>
      <c r="E151" s="11"/>
      <c r="F151" s="11">
        <f>+E149+E150</f>
        <v>250000</v>
      </c>
      <c r="H151" s="25"/>
      <c r="I151" s="22" t="str">
        <f>+B149</f>
        <v>Debt Service expenditure - subscription principal</v>
      </c>
      <c r="K151" s="20">
        <f>+E149</f>
        <v>228785.4025</v>
      </c>
      <c r="M151" s="92"/>
      <c r="N151" s="19" t="str">
        <f>+C151</f>
        <v>Cash or accounts payable - SLEEPS</v>
      </c>
      <c r="O151" s="20"/>
      <c r="P151" s="20">
        <f>+F151</f>
        <v>250000</v>
      </c>
    </row>
    <row r="152" spans="1:16" x14ac:dyDescent="0.5">
      <c r="B152" s="197" t="s">
        <v>349</v>
      </c>
      <c r="C152" s="34"/>
      <c r="D152" s="34"/>
      <c r="E152" s="11"/>
      <c r="F152" s="11"/>
      <c r="I152" s="1" t="str">
        <f>+B150</f>
        <v>Debt Service expenditure - SBITA interest</v>
      </c>
      <c r="K152" s="26">
        <f>+E150</f>
        <v>21214.5975</v>
      </c>
      <c r="M152" s="197" t="str">
        <f>+B152</f>
        <v>To record subscription payment to PERP for right to use ERP</v>
      </c>
      <c r="N152" s="23"/>
      <c r="O152" s="20"/>
      <c r="P152" s="20"/>
    </row>
    <row r="153" spans="1:16" x14ac:dyDescent="0.5">
      <c r="B153" s="92" t="s">
        <v>355</v>
      </c>
      <c r="C153" s="34"/>
      <c r="D153" s="34"/>
      <c r="E153" s="11"/>
      <c r="F153" s="11"/>
      <c r="H153" s="25" t="s">
        <v>382</v>
      </c>
      <c r="M153" s="92" t="str">
        <f>+B153</f>
        <v>System IT assets 7/1 - 12/31/X2</v>
      </c>
      <c r="N153" s="23"/>
      <c r="O153" s="20"/>
      <c r="P153" s="20"/>
    </row>
    <row r="154" spans="1:16" x14ac:dyDescent="0.5">
      <c r="B154" s="25"/>
      <c r="C154" s="34"/>
      <c r="D154" s="34"/>
      <c r="E154" s="11"/>
      <c r="F154" s="11"/>
      <c r="H154" s="92" t="s">
        <v>383</v>
      </c>
      <c r="M154" s="92"/>
      <c r="N154" s="23"/>
      <c r="O154" s="20"/>
      <c r="P154" s="20"/>
    </row>
    <row r="155" spans="1:16" x14ac:dyDescent="0.5">
      <c r="B155" s="25"/>
      <c r="C155" s="34"/>
      <c r="D155" s="34"/>
      <c r="E155" s="11"/>
      <c r="F155" s="11"/>
      <c r="H155" s="92" t="s">
        <v>384</v>
      </c>
      <c r="M155" s="92"/>
      <c r="N155" s="23"/>
      <c r="O155" s="20"/>
      <c r="P155" s="20"/>
    </row>
    <row r="156" spans="1:16" x14ac:dyDescent="0.5">
      <c r="B156" s="25"/>
      <c r="C156" s="34"/>
      <c r="D156" s="34"/>
      <c r="E156" s="11"/>
      <c r="F156" s="11"/>
      <c r="H156" s="92"/>
      <c r="M156" s="92"/>
      <c r="N156" s="23"/>
      <c r="O156" s="20"/>
      <c r="P156" s="20"/>
    </row>
    <row r="157" spans="1:16" x14ac:dyDescent="0.5">
      <c r="B157" s="25"/>
      <c r="C157" s="34"/>
      <c r="D157" s="34"/>
      <c r="E157" s="11"/>
      <c r="F157" s="11"/>
      <c r="H157" s="92"/>
      <c r="M157" s="92"/>
      <c r="N157" s="23"/>
      <c r="O157" s="20"/>
      <c r="P157" s="20"/>
    </row>
    <row r="158" spans="1:16" x14ac:dyDescent="0.5">
      <c r="A158" s="196" t="str">
        <f>+'Ex.2 Term &amp; Cost Classification'!A34</f>
        <v>1/1/X3</v>
      </c>
      <c r="B158" s="1" t="str">
        <f>+B149</f>
        <v>Debt Service expenditure - subscription principal</v>
      </c>
      <c r="C158" s="34"/>
      <c r="D158" s="34"/>
      <c r="E158" s="11">
        <f>+'Ex.2 City Calculations'!J19</f>
        <v>235648.96457499999</v>
      </c>
      <c r="F158" s="11"/>
      <c r="H158" s="22" t="s">
        <v>78</v>
      </c>
      <c r="I158" s="28"/>
      <c r="J158" s="20">
        <f>+K160</f>
        <v>235648.96457499999</v>
      </c>
      <c r="K158" s="20"/>
      <c r="M158" s="22" t="str">
        <f>+H158</f>
        <v>Subscription liability</v>
      </c>
      <c r="N158" s="23"/>
      <c r="O158" s="20">
        <f>+J158</f>
        <v>235648.96457499999</v>
      </c>
      <c r="P158" s="20"/>
    </row>
    <row r="159" spans="1:16" x14ac:dyDescent="0.5">
      <c r="B159" s="1" t="str">
        <f>+B150</f>
        <v>Debt Service expenditure - SBITA interest</v>
      </c>
      <c r="C159" s="34"/>
      <c r="D159" s="34"/>
      <c r="E159" s="11">
        <f>+'Ex.2 City Calculations'!I19</f>
        <v>14351.035425</v>
      </c>
      <c r="F159" s="11"/>
      <c r="H159" s="1" t="s">
        <v>186</v>
      </c>
      <c r="J159" s="20">
        <f>+K161</f>
        <v>14351.035425</v>
      </c>
      <c r="K159" s="26"/>
      <c r="M159" s="1" t="str">
        <f>+H159</f>
        <v>Subscription interest expense</v>
      </c>
      <c r="N159" s="23"/>
      <c r="O159" s="20">
        <f>+J159</f>
        <v>14351.035425</v>
      </c>
      <c r="P159" s="20"/>
    </row>
    <row r="160" spans="1:16" x14ac:dyDescent="0.5">
      <c r="B160" s="25"/>
      <c r="C160" s="193" t="str">
        <f>+C131</f>
        <v>Cash</v>
      </c>
      <c r="D160" s="34"/>
      <c r="E160" s="11"/>
      <c r="F160" s="11">
        <f>+E158+E159</f>
        <v>250000</v>
      </c>
      <c r="H160" s="25"/>
      <c r="I160" s="22" t="str">
        <f>+B158</f>
        <v>Debt Service expenditure - subscription principal</v>
      </c>
      <c r="K160" s="20">
        <f>+E158</f>
        <v>235648.96457499999</v>
      </c>
      <c r="M160" s="92"/>
      <c r="N160" s="19" t="str">
        <f>+C160</f>
        <v>Cash</v>
      </c>
      <c r="O160" s="20"/>
      <c r="P160" s="20">
        <f>+F160</f>
        <v>250000</v>
      </c>
    </row>
    <row r="161" spans="1:16" x14ac:dyDescent="0.5">
      <c r="B161" s="25" t="str">
        <f t="shared" ref="B161" si="15">B152</f>
        <v>To record subscription payment to PERP for right to use ERP</v>
      </c>
      <c r="C161" s="34"/>
      <c r="D161" s="34"/>
      <c r="E161" s="11"/>
      <c r="F161" s="11"/>
      <c r="I161" s="1" t="str">
        <f>+B159</f>
        <v>Debt Service expenditure - SBITA interest</v>
      </c>
      <c r="K161" s="26">
        <f>+E159</f>
        <v>14351.035425</v>
      </c>
      <c r="M161" s="197" t="str">
        <f>+B161</f>
        <v>To record subscription payment to PERP for right to use ERP</v>
      </c>
      <c r="N161" s="23"/>
      <c r="O161" s="20"/>
      <c r="P161" s="20"/>
    </row>
    <row r="162" spans="1:16" x14ac:dyDescent="0.5">
      <c r="B162" s="92" t="s">
        <v>356</v>
      </c>
      <c r="C162" s="34"/>
      <c r="D162" s="34"/>
      <c r="E162" s="11"/>
      <c r="F162" s="11"/>
      <c r="H162" s="25" t="str">
        <f t="shared" ref="H162:H164" si="16">H153</f>
        <v>To recognize reduction in subscription liability and interest</v>
      </c>
      <c r="M162" s="92" t="str">
        <f>+B162</f>
        <v>System IT assets 1/1 - 6/30/X3</v>
      </c>
      <c r="N162" s="23"/>
      <c r="O162" s="20"/>
      <c r="P162" s="20"/>
    </row>
    <row r="163" spans="1:16" x14ac:dyDescent="0.5">
      <c r="B163" s="92"/>
      <c r="C163" s="34"/>
      <c r="D163" s="34"/>
      <c r="E163" s="11"/>
      <c r="F163" s="11"/>
      <c r="H163" s="92" t="str">
        <f t="shared" si="16"/>
        <v xml:space="preserve">expense upon payment of subscription liability principal </v>
      </c>
      <c r="M163" s="92"/>
      <c r="N163" s="23"/>
      <c r="O163" s="20"/>
      <c r="P163" s="20"/>
    </row>
    <row r="164" spans="1:16" x14ac:dyDescent="0.5">
      <c r="B164" s="92"/>
      <c r="C164" s="34"/>
      <c r="D164" s="34"/>
      <c r="E164" s="11"/>
      <c r="F164" s="11"/>
      <c r="H164" s="92" t="str">
        <f t="shared" si="16"/>
        <v>and interest to PERP</v>
      </c>
      <c r="M164" s="92"/>
      <c r="N164" s="23"/>
      <c r="O164" s="20"/>
      <c r="P164" s="20"/>
    </row>
    <row r="165" spans="1:16" x14ac:dyDescent="0.5">
      <c r="B165" s="92"/>
      <c r="C165" s="34"/>
      <c r="D165" s="34"/>
      <c r="E165" s="11"/>
      <c r="F165" s="11"/>
      <c r="H165" s="92"/>
      <c r="M165" s="92"/>
      <c r="N165" s="23"/>
      <c r="O165" s="20"/>
      <c r="P165" s="20"/>
    </row>
    <row r="166" spans="1:16" x14ac:dyDescent="0.5">
      <c r="B166" s="92"/>
      <c r="C166" s="34"/>
      <c r="D166" s="34"/>
      <c r="E166" s="11"/>
      <c r="F166" s="11"/>
      <c r="H166" s="92"/>
      <c r="M166" s="92"/>
      <c r="N166" s="23"/>
      <c r="O166" s="20"/>
      <c r="P166" s="20"/>
    </row>
    <row r="167" spans="1:16" x14ac:dyDescent="0.5">
      <c r="A167" s="196" t="str">
        <f>+'Ex.2 Term &amp; Cost Classification'!A35</f>
        <v>1/1/X3</v>
      </c>
      <c r="B167" s="89" t="str">
        <f>+B137</f>
        <v>Expenditures - current</v>
      </c>
      <c r="C167" s="34"/>
      <c r="D167" s="34"/>
      <c r="E167" s="11">
        <f>+'Ex.2 Term &amp; Cost Classification'!Q35</f>
        <v>400000</v>
      </c>
      <c r="F167" s="11"/>
      <c r="I167" s="1" t="s">
        <v>146</v>
      </c>
      <c r="J167" s="20"/>
      <c r="K167" s="20"/>
      <c r="M167" s="19" t="str">
        <f>+B167</f>
        <v>Expenditures - current</v>
      </c>
      <c r="N167" s="19"/>
      <c r="O167" s="11">
        <f>+E167</f>
        <v>400000</v>
      </c>
      <c r="P167" s="11"/>
    </row>
    <row r="168" spans="1:16" x14ac:dyDescent="0.5">
      <c r="B168" s="92"/>
      <c r="C168" s="193" t="str">
        <f>+C118</f>
        <v>Cash or accounts payable - SLEEPS</v>
      </c>
      <c r="D168" s="34"/>
      <c r="E168" s="11"/>
      <c r="F168" s="11">
        <f>+E167</f>
        <v>400000</v>
      </c>
      <c r="I168" s="19"/>
      <c r="J168" s="20"/>
      <c r="K168" s="20"/>
      <c r="M168" s="19"/>
      <c r="N168" s="19" t="str">
        <f>+C168</f>
        <v>Cash or accounts payable - SLEEPS</v>
      </c>
      <c r="O168" s="11"/>
      <c r="P168" s="11">
        <f>+F168</f>
        <v>400000</v>
      </c>
    </row>
    <row r="169" spans="1:16" x14ac:dyDescent="0.5">
      <c r="B169" s="197" t="s">
        <v>347</v>
      </c>
      <c r="C169" s="34"/>
      <c r="D169" s="34"/>
      <c r="E169" s="11"/>
      <c r="F169" s="11"/>
      <c r="I169" s="19"/>
      <c r="J169" s="20"/>
      <c r="K169" s="20"/>
      <c r="M169" s="23" t="str">
        <f>+B169</f>
        <v>To record payments to SLEEPS for annual operating support for</v>
      </c>
      <c r="N169" s="19"/>
      <c r="O169" s="11"/>
      <c r="P169" s="11"/>
    </row>
    <row r="170" spans="1:16" x14ac:dyDescent="0.5">
      <c r="B170" s="92" t="s">
        <v>352</v>
      </c>
      <c r="C170" s="34"/>
      <c r="D170" s="34"/>
      <c r="E170" s="11"/>
      <c r="F170" s="11"/>
      <c r="I170" s="19"/>
      <c r="J170" s="20"/>
      <c r="K170" s="20"/>
      <c r="M170" s="97" t="str">
        <f>+B170</f>
        <v>GL and AP modules</v>
      </c>
      <c r="N170" s="19"/>
      <c r="O170" s="11"/>
      <c r="P170" s="11"/>
    </row>
    <row r="171" spans="1:16" x14ac:dyDescent="0.5">
      <c r="B171" s="92"/>
      <c r="C171" s="34"/>
      <c r="D171" s="34"/>
      <c r="E171" s="11"/>
      <c r="F171" s="11"/>
      <c r="M171" s="92"/>
      <c r="N171" s="23"/>
      <c r="O171" s="20"/>
      <c r="P171" s="20"/>
    </row>
    <row r="172" spans="1:16" x14ac:dyDescent="0.5">
      <c r="B172" s="92"/>
      <c r="C172" s="34"/>
      <c r="D172" s="34"/>
      <c r="E172" s="11"/>
      <c r="F172" s="11"/>
      <c r="M172" s="92"/>
      <c r="N172" s="23"/>
      <c r="O172" s="20"/>
      <c r="P172" s="20"/>
    </row>
    <row r="173" spans="1:16" x14ac:dyDescent="0.5">
      <c r="A173" s="196" t="s">
        <v>296</v>
      </c>
      <c r="B173" s="25"/>
      <c r="C173" s="1" t="s">
        <v>146</v>
      </c>
      <c r="D173" s="34"/>
      <c r="E173" s="11"/>
      <c r="F173" s="11"/>
      <c r="H173" s="89" t="s">
        <v>181</v>
      </c>
      <c r="J173" s="215">
        <f>+'Ex.2 City Calculations'!K37</f>
        <v>1347576.666666667</v>
      </c>
      <c r="M173" s="89" t="str">
        <f>+H173</f>
        <v>Amortization expense</v>
      </c>
      <c r="O173" s="20">
        <f>+J173</f>
        <v>1347576.666666667</v>
      </c>
      <c r="P173" s="20"/>
    </row>
    <row r="174" spans="1:16" x14ac:dyDescent="0.5">
      <c r="B174" s="25"/>
      <c r="C174" s="34"/>
      <c r="D174" s="34"/>
      <c r="E174" s="11"/>
      <c r="F174" s="11"/>
      <c r="H174" s="92"/>
      <c r="I174" s="1" t="s">
        <v>358</v>
      </c>
      <c r="K174" s="26">
        <f>+J173</f>
        <v>1347576.666666667</v>
      </c>
      <c r="M174" s="92"/>
      <c r="N174" s="1" t="str">
        <f>+I174</f>
        <v>Accumulated amortization - ERP Subscription asset</v>
      </c>
      <c r="O174" s="20"/>
      <c r="P174" s="20">
        <f>+K174</f>
        <v>1347576.666666667</v>
      </c>
    </row>
    <row r="175" spans="1:16" x14ac:dyDescent="0.5">
      <c r="B175" s="25"/>
      <c r="C175" s="34"/>
      <c r="D175" s="34"/>
      <c r="E175" s="11"/>
      <c r="F175" s="11"/>
      <c r="H175" s="23" t="s">
        <v>380</v>
      </c>
      <c r="M175" s="92" t="str">
        <f>+H175</f>
        <v>To record amortization of subscription asset for FYE 20X3</v>
      </c>
      <c r="N175" s="23"/>
      <c r="O175" s="20"/>
      <c r="P175" s="20"/>
    </row>
    <row r="176" spans="1:16" x14ac:dyDescent="0.5">
      <c r="B176" s="92"/>
      <c r="C176" s="34"/>
      <c r="D176" s="34"/>
      <c r="E176" s="11"/>
      <c r="F176" s="11"/>
      <c r="M176" s="92"/>
      <c r="N176" s="23"/>
      <c r="O176" s="20"/>
      <c r="P176" s="20"/>
    </row>
    <row r="177" spans="1:16" x14ac:dyDescent="0.5">
      <c r="A177" s="17" t="s">
        <v>361</v>
      </c>
      <c r="B177" s="92"/>
      <c r="C177" s="34"/>
      <c r="D177" s="34"/>
      <c r="E177" s="11"/>
      <c r="F177" s="11"/>
      <c r="M177" s="92"/>
      <c r="N177" s="23"/>
      <c r="O177" s="20"/>
      <c r="P177" s="20"/>
    </row>
    <row r="178" spans="1:16" x14ac:dyDescent="0.5">
      <c r="A178" s="196" t="str">
        <f>+'Ex.2 Term &amp; Cost Classification'!A36</f>
        <v>7/1/X3</v>
      </c>
      <c r="B178" s="89" t="s">
        <v>351</v>
      </c>
      <c r="C178" s="34"/>
      <c r="D178" s="34"/>
      <c r="E178" s="11">
        <f>+'Ex.2 City Calculations'!J20</f>
        <v>242718.43351224999</v>
      </c>
      <c r="F178" s="11"/>
      <c r="H178" s="22" t="s">
        <v>78</v>
      </c>
      <c r="I178" s="28"/>
      <c r="J178" s="20">
        <f>+K180</f>
        <v>242718.43351224999</v>
      </c>
      <c r="K178" s="20"/>
      <c r="M178" s="22" t="str">
        <f>+H178</f>
        <v>Subscription liability</v>
      </c>
      <c r="N178" s="23"/>
      <c r="O178" s="20">
        <f>+J178</f>
        <v>242718.43351224999</v>
      </c>
      <c r="P178" s="20"/>
    </row>
    <row r="179" spans="1:16" x14ac:dyDescent="0.5">
      <c r="B179" s="89" t="s">
        <v>348</v>
      </c>
      <c r="C179" s="34"/>
      <c r="D179" s="34"/>
      <c r="E179" s="11">
        <f>+'Ex.2 City Calculations'!I20</f>
        <v>7281.5664877500012</v>
      </c>
      <c r="F179" s="11"/>
      <c r="H179" s="1" t="s">
        <v>186</v>
      </c>
      <c r="J179" s="20">
        <f>+K181</f>
        <v>7281.5664877500012</v>
      </c>
      <c r="K179" s="26"/>
      <c r="M179" s="1" t="str">
        <f>+H179</f>
        <v>Subscription interest expense</v>
      </c>
      <c r="N179" s="23"/>
      <c r="O179" s="20">
        <f>+J179</f>
        <v>7281.5664877500012</v>
      </c>
      <c r="P179" s="20"/>
    </row>
    <row r="180" spans="1:16" x14ac:dyDescent="0.5">
      <c r="B180" s="92"/>
      <c r="C180" s="193" t="str">
        <f>+C160</f>
        <v>Cash</v>
      </c>
      <c r="D180" s="34"/>
      <c r="E180" s="11"/>
      <c r="F180" s="11">
        <f>+E178+E179</f>
        <v>250000</v>
      </c>
      <c r="H180" s="25"/>
      <c r="I180" s="22" t="str">
        <f>+B178</f>
        <v>Debt Service expenditure - subscription principal</v>
      </c>
      <c r="K180" s="20">
        <f>+E178</f>
        <v>242718.43351224999</v>
      </c>
      <c r="M180" s="92"/>
      <c r="N180" s="19" t="str">
        <f>+C180</f>
        <v>Cash</v>
      </c>
      <c r="O180" s="20"/>
      <c r="P180" s="20">
        <f>+F180</f>
        <v>250000</v>
      </c>
    </row>
    <row r="181" spans="1:16" x14ac:dyDescent="0.5">
      <c r="B181" s="197" t="s">
        <v>349</v>
      </c>
      <c r="C181" s="34"/>
      <c r="D181" s="34"/>
      <c r="E181" s="11"/>
      <c r="F181" s="11"/>
      <c r="I181" s="1" t="str">
        <f>+B179</f>
        <v>Debt Service expenditure - SBITA interest</v>
      </c>
      <c r="K181" s="26">
        <f>+E179</f>
        <v>7281.5664877500012</v>
      </c>
      <c r="M181" s="197" t="str">
        <f>+B181</f>
        <v>To record subscription payment to PERP for right to use ERP</v>
      </c>
      <c r="N181" s="23"/>
      <c r="O181" s="20"/>
      <c r="P181" s="20"/>
    </row>
    <row r="182" spans="1:16" x14ac:dyDescent="0.5">
      <c r="B182" s="92" t="s">
        <v>362</v>
      </c>
      <c r="C182" s="34"/>
      <c r="D182" s="34"/>
      <c r="E182" s="11"/>
      <c r="F182" s="11"/>
      <c r="H182" s="25" t="str">
        <f t="shared" ref="H182:H184" si="17">H153</f>
        <v>To recognize reduction in subscription liability and interest</v>
      </c>
      <c r="M182" s="92" t="str">
        <f>+B182</f>
        <v>System IT assets 7/1 - 12/31/X3</v>
      </c>
      <c r="N182" s="23"/>
      <c r="O182" s="20"/>
      <c r="P182" s="20"/>
    </row>
    <row r="183" spans="1:16" x14ac:dyDescent="0.5">
      <c r="B183" s="25"/>
      <c r="C183" s="34"/>
      <c r="D183" s="34"/>
      <c r="E183" s="11"/>
      <c r="F183" s="11"/>
      <c r="H183" s="92" t="str">
        <f t="shared" si="17"/>
        <v xml:space="preserve">expense upon payment of subscription liability principal </v>
      </c>
      <c r="M183" s="92"/>
      <c r="N183" s="23"/>
      <c r="O183" s="20"/>
      <c r="P183" s="20"/>
    </row>
    <row r="184" spans="1:16" x14ac:dyDescent="0.5">
      <c r="B184" s="25"/>
      <c r="C184" s="34"/>
      <c r="D184" s="34"/>
      <c r="E184" s="11"/>
      <c r="F184" s="11"/>
      <c r="H184" s="92" t="str">
        <f t="shared" si="17"/>
        <v>and interest to PERP</v>
      </c>
      <c r="M184" s="92"/>
      <c r="N184" s="23"/>
      <c r="O184" s="20"/>
      <c r="P184" s="20"/>
    </row>
    <row r="185" spans="1:16" x14ac:dyDescent="0.5">
      <c r="B185" s="25"/>
      <c r="C185" s="34"/>
      <c r="D185" s="34"/>
      <c r="E185" s="11"/>
      <c r="F185" s="11"/>
      <c r="H185" s="92"/>
      <c r="M185" s="92"/>
      <c r="N185" s="23"/>
      <c r="O185" s="20"/>
      <c r="P185" s="20"/>
    </row>
    <row r="186" spans="1:16" x14ac:dyDescent="0.5">
      <c r="B186" s="25"/>
      <c r="C186" s="34"/>
      <c r="D186" s="34"/>
      <c r="E186" s="11"/>
      <c r="F186" s="11"/>
      <c r="H186" s="92"/>
      <c r="M186" s="92"/>
      <c r="N186" s="23"/>
      <c r="O186" s="20"/>
      <c r="P186" s="20"/>
    </row>
    <row r="187" spans="1:16" x14ac:dyDescent="0.5">
      <c r="A187" s="196" t="s">
        <v>298</v>
      </c>
      <c r="B187" s="25"/>
      <c r="C187" s="1" t="s">
        <v>146</v>
      </c>
      <c r="D187" s="34"/>
      <c r="E187" s="11"/>
      <c r="F187" s="11"/>
      <c r="H187" s="89" t="s">
        <v>181</v>
      </c>
      <c r="J187" s="215">
        <f>+'Ex.2 City Calculations'!K39</f>
        <v>673788.33333333349</v>
      </c>
      <c r="M187" s="89" t="str">
        <f>+H187</f>
        <v>Amortization expense</v>
      </c>
      <c r="O187" s="20">
        <f>+J187</f>
        <v>673788.33333333349</v>
      </c>
      <c r="P187" s="20"/>
    </row>
    <row r="188" spans="1:16" x14ac:dyDescent="0.5">
      <c r="B188" s="25"/>
      <c r="C188" s="34"/>
      <c r="D188" s="34"/>
      <c r="E188" s="11"/>
      <c r="F188" s="11"/>
      <c r="H188" s="92"/>
      <c r="I188" s="1" t="s">
        <v>358</v>
      </c>
      <c r="K188" s="26">
        <f>+J187</f>
        <v>673788.33333333349</v>
      </c>
      <c r="M188" s="92"/>
      <c r="N188" s="1" t="str">
        <f>+I188</f>
        <v>Accumulated amortization - ERP Subscription asset</v>
      </c>
      <c r="O188" s="20"/>
      <c r="P188" s="20">
        <f>+K188</f>
        <v>673788.33333333349</v>
      </c>
    </row>
    <row r="189" spans="1:16" x14ac:dyDescent="0.5">
      <c r="B189" s="25"/>
      <c r="C189" s="34"/>
      <c r="D189" s="34"/>
      <c r="E189" s="11"/>
      <c r="F189" s="11"/>
      <c r="H189" s="23" t="s">
        <v>381</v>
      </c>
      <c r="M189" s="197" t="str">
        <f>+H189</f>
        <v>To record amortization of subscription asset for FYE 20X4</v>
      </c>
      <c r="N189" s="23"/>
      <c r="O189" s="20"/>
      <c r="P189" s="20"/>
    </row>
    <row r="190" spans="1:16" x14ac:dyDescent="0.5">
      <c r="B190" s="25"/>
      <c r="C190" s="34"/>
      <c r="D190" s="34"/>
      <c r="E190" s="11"/>
      <c r="F190" s="11"/>
      <c r="H190" s="23"/>
      <c r="M190" s="92"/>
      <c r="N190" s="23"/>
      <c r="O190" s="20"/>
      <c r="P190" s="20"/>
    </row>
    <row r="191" spans="1:16" x14ac:dyDescent="0.5">
      <c r="B191" s="25"/>
      <c r="C191" s="34"/>
      <c r="D191" s="34"/>
      <c r="E191" s="11"/>
      <c r="F191" s="11"/>
      <c r="H191" s="23"/>
      <c r="M191" s="92"/>
      <c r="N191" s="23"/>
      <c r="O191" s="20"/>
      <c r="P191" s="20"/>
    </row>
    <row r="192" spans="1:16" x14ac:dyDescent="0.5">
      <c r="A192" s="196" t="str">
        <f>+A187</f>
        <v>6/30/X4</v>
      </c>
      <c r="B192" s="25"/>
      <c r="C192" s="1" t="s">
        <v>146</v>
      </c>
      <c r="D192" s="34"/>
      <c r="E192" s="11"/>
      <c r="F192" s="11"/>
      <c r="H192" s="1" t="str">
        <f>+I188</f>
        <v>Accumulated amortization - ERP Subscription asset</v>
      </c>
      <c r="J192" s="26">
        <f>+K144+K174+K188</f>
        <v>3264275.0000000005</v>
      </c>
      <c r="M192" s="89" t="str">
        <f>+H192</f>
        <v>Accumulated amortization - ERP Subscription asset</v>
      </c>
      <c r="O192" s="20">
        <f>+J192</f>
        <v>3264275.0000000005</v>
      </c>
      <c r="P192" s="20"/>
    </row>
    <row r="193" spans="1:16" x14ac:dyDescent="0.5">
      <c r="B193" s="25"/>
      <c r="C193" s="34"/>
      <c r="D193" s="34"/>
      <c r="E193" s="11"/>
      <c r="F193" s="11"/>
      <c r="H193" s="23"/>
      <c r="I193" s="19" t="str">
        <f>+H108</f>
        <v>ERP System subscription asset</v>
      </c>
      <c r="K193" s="26">
        <f>+J48+J58+J65+J78+J84+J91+J99+J108</f>
        <v>3264275</v>
      </c>
      <c r="M193" s="92"/>
      <c r="N193" s="1" t="str">
        <f>+I193</f>
        <v>ERP System subscription asset</v>
      </c>
      <c r="O193" s="20"/>
      <c r="P193" s="20">
        <f>+K193</f>
        <v>3264275</v>
      </c>
    </row>
    <row r="194" spans="1:16" x14ac:dyDescent="0.5">
      <c r="B194" s="25"/>
      <c r="C194" s="34"/>
      <c r="D194" s="34"/>
      <c r="E194" s="11"/>
      <c r="F194" s="11"/>
      <c r="H194" s="23" t="s">
        <v>363</v>
      </c>
      <c r="M194" s="197" t="str">
        <f>+H194</f>
        <v>To record retirement of ERP System subscription asset</v>
      </c>
      <c r="N194" s="23"/>
      <c r="O194" s="20"/>
      <c r="P194" s="20"/>
    </row>
    <row r="195" spans="1:16" x14ac:dyDescent="0.5">
      <c r="B195" s="25"/>
      <c r="C195" s="34"/>
      <c r="D195" s="34"/>
      <c r="E195" s="11"/>
      <c r="F195" s="11"/>
      <c r="H195" s="23" t="s">
        <v>364</v>
      </c>
      <c r="M195" s="92" t="s">
        <v>364</v>
      </c>
      <c r="N195" s="23"/>
      <c r="O195" s="20"/>
      <c r="P195" s="20"/>
    </row>
    <row r="196" spans="1:16" x14ac:dyDescent="0.5">
      <c r="B196" s="92"/>
      <c r="C196" s="34"/>
      <c r="D196" s="34"/>
      <c r="E196" s="11"/>
      <c r="F196" s="11"/>
      <c r="M196" s="92"/>
      <c r="N196" s="23"/>
      <c r="O196" s="20"/>
      <c r="P196" s="20"/>
    </row>
    <row r="197" spans="1:16" x14ac:dyDescent="0.5">
      <c r="B197" s="92"/>
      <c r="C197" s="34"/>
      <c r="D197" s="34"/>
      <c r="E197" s="11"/>
      <c r="F197" s="11"/>
      <c r="M197" s="92"/>
      <c r="N197" s="23"/>
      <c r="O197" s="20"/>
      <c r="P197" s="20"/>
    </row>
    <row r="199" spans="1:16" s="10" customFormat="1" ht="16.149999999999999" thickBot="1" x14ac:dyDescent="0.55000000000000004">
      <c r="A199" s="10" t="s">
        <v>216</v>
      </c>
      <c r="E199" s="208">
        <f>SUM(E7:E198)</f>
        <v>5960274.6007025922</v>
      </c>
      <c r="F199" s="208">
        <f>SUM(F7:F198)</f>
        <v>5960274.6007025922</v>
      </c>
      <c r="J199" s="208">
        <f>SUM(J7:J198)</f>
        <v>12865100.000000002</v>
      </c>
      <c r="K199" s="208">
        <f>SUM(K7:K198)</f>
        <v>12865099.600702593</v>
      </c>
      <c r="O199" s="208">
        <f>SUM(O7:O198)</f>
        <v>13631825.000000002</v>
      </c>
      <c r="P199" s="208">
        <f>SUM(P7:P198)</f>
        <v>13631824.600702593</v>
      </c>
    </row>
    <row r="200" spans="1:16" s="209" customFormat="1" ht="16.149999999999999" thickTop="1" x14ac:dyDescent="0.5">
      <c r="E200" s="210">
        <f>ROUND(+E199-F199,0)</f>
        <v>0</v>
      </c>
      <c r="J200" s="210">
        <f>ROUND(+J199-K199,0)</f>
        <v>0</v>
      </c>
      <c r="O200" s="210">
        <f>ROUND(+O199-P199,0)</f>
        <v>0</v>
      </c>
    </row>
    <row r="201" spans="1:16" x14ac:dyDescent="0.5">
      <c r="O201" s="26"/>
    </row>
  </sheetData>
  <mergeCells count="4">
    <mergeCell ref="A1:P1"/>
    <mergeCell ref="B4:F4"/>
    <mergeCell ref="H4:K4"/>
    <mergeCell ref="M4:P4"/>
  </mergeCells>
  <pageMargins left="0.7" right="0.7" top="0.75" bottom="0.75" header="0.3" footer="0.3"/>
  <pageSetup paperSize="5"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A9F6C69BC8AD49A9CE2001ACB86502" ma:contentTypeVersion="9" ma:contentTypeDescription="Create a new document." ma:contentTypeScope="" ma:versionID="864fd41e4582ad6a7839c9dab971abfc">
  <xsd:schema xmlns:xsd="http://www.w3.org/2001/XMLSchema" xmlns:xs="http://www.w3.org/2001/XMLSchema" xmlns:p="http://schemas.microsoft.com/office/2006/metadata/properties" xmlns:ns3="0f230781-6b11-4dde-9492-f75e5364caeb" targetNamespace="http://schemas.microsoft.com/office/2006/metadata/properties" ma:root="true" ma:fieldsID="5c10683f29506432b72d760f29ca62d4" ns3:_="">
    <xsd:import namespace="0f230781-6b11-4dde-9492-f75e5364cae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230781-6b11-4dde-9492-f75e5364ca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A89279-AC8B-4E9D-B308-4757062505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230781-6b11-4dde-9492-f75e5364ca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637BCE-9197-4354-9C2C-0EDBB1FD99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73C26A-9975-4464-BBCD-5EAA967D83D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Ex.1 Assumptions</vt:lpstr>
      <vt:lpstr>Ex.1 Term &amp; Cost Classification</vt:lpstr>
      <vt:lpstr>Ex.1 City Calculations</vt:lpstr>
      <vt:lpstr>Ex.1 City JEs</vt:lpstr>
      <vt:lpstr>Ex.2 Assumptions</vt:lpstr>
      <vt:lpstr>Ex.2 Term &amp; Cost Classification</vt:lpstr>
      <vt:lpstr>Ex.2 City Calculations</vt:lpstr>
      <vt:lpstr>Ex.2 City JEs</vt:lpstr>
      <vt:lpstr>'Ex.1 Assumptions'!Print_Area</vt:lpstr>
      <vt:lpstr>'Ex.1 City Calculations'!Print_Area</vt:lpstr>
      <vt:lpstr>'Ex.1 City JEs'!Print_Area</vt:lpstr>
      <vt:lpstr>'Ex.1 Term &amp; Cost Classification'!Print_Area</vt:lpstr>
      <vt:lpstr>'Ex.2 City Calculations'!Print_Area</vt:lpstr>
      <vt:lpstr>'Ex.2 City JEs'!Print_Area</vt:lpstr>
      <vt:lpstr>'Ex.2 Term &amp; Cost Classification'!Print_Area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MLevine</dc:creator>
  <cp:keywords/>
  <dc:description/>
  <cp:lastModifiedBy>Michele Mark Levine</cp:lastModifiedBy>
  <cp:revision/>
  <dcterms:created xsi:type="dcterms:W3CDTF">2021-06-11T20:06:39Z</dcterms:created>
  <dcterms:modified xsi:type="dcterms:W3CDTF">2023-04-02T20:17:39Z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0x010100A1A9F6C69BC8AD49A9CE2001ACB86502</vt:lpwstr>
  </property>
</Properties>
</file>