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defaultThemeVersion="164011"/>
  <mc:AlternateContent xmlns:mc="http://schemas.openxmlformats.org/markup-compatibility/2006">
    <mc:Choice Requires="x15">
      <x15ac:absPath xmlns:x15ac="http://schemas.microsoft.com/office/spreadsheetml/2010/11/ac" url="I:\TSC Webinars\Accounting and Financial Reporting for Leases Series\Session 2\"/>
    </mc:Choice>
  </mc:AlternateContent>
  <bookViews>
    <workbookView xWindow="0" yWindow="0" windowWidth="20490" windowHeight="8910" firstSheet="8" activeTab="8"/>
  </bookViews>
  <sheets>
    <sheet name="Overview" sheetId="18" r:id="rId1"/>
    <sheet name="Example 1 Assumptions Summary " sheetId="8" r:id="rId2"/>
    <sheet name="Ex. 1 Calcs - District" sheetId="25" r:id="rId3"/>
    <sheet name="Ex. 1 Entries - District" sheetId="2" r:id="rId4"/>
    <sheet name="Ex. 1 Calcs - County" sheetId="54" r:id="rId5"/>
    <sheet name="Ex. 1 Entries - County" sheetId="55" r:id="rId6"/>
    <sheet name="Example 2 Assumptions Summary " sheetId="7" r:id="rId7"/>
    <sheet name="Ex. 2 Calcs - District" sheetId="56" r:id="rId8"/>
    <sheet name="Ex. 2 Entries - District" sheetId="57" r:id="rId9"/>
    <sheet name="Ex. 2 Calcs - County" sheetId="59" r:id="rId10"/>
    <sheet name="Ex. 2 Entries - County" sheetId="58" r:id="rId11"/>
    <sheet name="Example 3 Assumptions Summary" sheetId="47" r:id="rId12"/>
    <sheet name="Ex. 3 Calcs-District" sheetId="51" r:id="rId13"/>
    <sheet name="Ex. 3 Entries - District" sheetId="50" r:id="rId14"/>
    <sheet name="Ex. 3 Calcs-College" sheetId="62" r:id="rId15"/>
    <sheet name="Ex. 3 Entries - College" sheetId="61" r:id="rId16"/>
    <sheet name="Example 4 Assumptions Summary" sheetId="67" r:id="rId17"/>
    <sheet name="Ex. 4 Calcs-County" sheetId="68" r:id="rId18"/>
    <sheet name="Ex. 4 Entries - County" sheetId="63" r:id="rId19"/>
    <sheet name="Ex. 4 Calcs-City" sheetId="69" r:id="rId20"/>
    <sheet name="Ex. 4 Entries - City" sheetId="70" r:id="rId21"/>
    <sheet name="Example 5 Assumptions Summary " sheetId="71" r:id="rId22"/>
    <sheet name="Ex. 5 Calcs-Corporation" sheetId="72" r:id="rId23"/>
    <sheet name="Ex. 5 Entries - Corporation" sheetId="74" r:id="rId24"/>
    <sheet name="Ex. 5 Calcs-City" sheetId="73" r:id="rId25"/>
    <sheet name="Ex. 5 Entries - City" sheetId="76" r:id="rId26"/>
    <sheet name="Example 6 Assumptions Summary" sheetId="78" r:id="rId27"/>
    <sheet name="Ex. 6 Calcs-City" sheetId="79" r:id="rId28"/>
    <sheet name="Ex. 6 Entries - City" sheetId="80" r:id="rId29"/>
    <sheet name="Ex. 6 Calcs-Corp" sheetId="83" r:id="rId30"/>
    <sheet name="Ex. 6 Entries - Corp" sheetId="82" r:id="rId31"/>
    <sheet name="Example 6 Scenario A " sheetId="84" r:id="rId32"/>
    <sheet name="Example 6 Scenario B " sheetId="85" r:id="rId33"/>
    <sheet name="Example 6 Scenario C " sheetId="87" r:id="rId34"/>
    <sheet name="Example 7" sheetId="88" r:id="rId35"/>
  </sheets>
  <definedNames>
    <definedName name="OLE_LINK2" localSheetId="1">'Example 1 Assumptions Summary '!$B$2</definedName>
    <definedName name="_xlnm.Print_Area" localSheetId="4">'Ex. 1 Calcs - County'!$B$12:$L$34</definedName>
    <definedName name="_xlnm.Print_Area" localSheetId="2">'Ex. 1 Calcs - District'!$N$12:$O$20</definedName>
    <definedName name="_xlnm.Print_Area" localSheetId="3">'Ex. 1 Entries - District'!$A$2:$P$33</definedName>
    <definedName name="_xlnm.Print_Area" localSheetId="9">'Ex. 2 Calcs - County'!$N$15:$P$29</definedName>
    <definedName name="_xlnm.Print_Area" localSheetId="7">'Ex. 2 Calcs - District'!$H$3:$N$9</definedName>
    <definedName name="_xlnm.Print_Area" localSheetId="14">'Ex. 3 Calcs-College'!$H$17:$L$25</definedName>
    <definedName name="_xlnm.Print_Area" localSheetId="12">'Ex. 3 Calcs-District'!$H$14:$I$22</definedName>
    <definedName name="_xlnm.Print_Area" localSheetId="19">'Ex. 4 Calcs-City'!$H$5:$K$12</definedName>
    <definedName name="_xlnm.Print_Area" localSheetId="17">'Ex. 4 Calcs-County'!$M$15:$T$31</definedName>
    <definedName name="_xlnm.Print_Area" localSheetId="18">'Ex. 4 Entries - County'!$A$1:$U$44</definedName>
    <definedName name="_xlnm.Print_Area" localSheetId="24">'Ex. 5 Calcs-City'!$N$19:$R$26</definedName>
    <definedName name="_xlnm.Print_Area" localSheetId="22">'Ex. 5 Calcs-Corporation'!$N$19:$O$27</definedName>
    <definedName name="_xlnm.Print_Area" localSheetId="27">'Ex. 6 Calcs-City'!$H$17:$I$25</definedName>
    <definedName name="_xlnm.Print_Area" localSheetId="29">'Ex. 6 Calcs-Corp'!$H$14:$I$22</definedName>
    <definedName name="_xlnm.Print_Area" localSheetId="1">'Example 1 Assumptions Summary '!$B$2:$H$29</definedName>
    <definedName name="_xlnm.Print_Area" localSheetId="11">'Example 3 Assumptions Summary'!$B$8:$E$12</definedName>
    <definedName name="_xlnm.Print_Area" localSheetId="16">'Example 4 Assumptions Summary'!$J$21:$N$24</definedName>
    <definedName name="_xlnm.Print_Area" localSheetId="21">'Example 5 Assumptions Summary '!$B$4:$D$10</definedName>
    <definedName name="_xlnm.Print_Area" localSheetId="26">'Example 6 Assumptions Summary'!$H$28:$I$36</definedName>
    <definedName name="_xlnm.Print_Area" localSheetId="31">'Example 6 Scenario A '!$B$24:$N$43</definedName>
    <definedName name="_xlnm.Print_Area" localSheetId="32">'Example 6 Scenario B '!$B$27:$H$44</definedName>
    <definedName name="_xlnm.Print_Area" localSheetId="33">'Example 6 Scenario C '!$B$50:$X$65</definedName>
    <definedName name="_xlnm.Print_Area" localSheetId="34">'Example 7'!$B$3:$M$20</definedName>
    <definedName name="_xlnm.Print_Area" localSheetId="0">Overview!$B$2:$J$32</definedName>
    <definedName name="_xlnm.Print_Titles" localSheetId="3">'Ex. 1 Entries - District'!$A:$P,'Ex. 1 Entries - District'!$2:$5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1" i="70" l="1"/>
  <c r="E121" i="70"/>
  <c r="J92" i="70"/>
  <c r="E99" i="70"/>
  <c r="E98" i="70"/>
  <c r="H64" i="69"/>
  <c r="F22" i="8"/>
  <c r="J255" i="63"/>
  <c r="O203" i="63"/>
  <c r="K219" i="63"/>
  <c r="F19" i="67" l="1"/>
  <c r="H63" i="68"/>
  <c r="N23" i="67"/>
  <c r="O72" i="57"/>
  <c r="M72" i="57"/>
  <c r="Q72" i="87" l="1"/>
  <c r="X65" i="87"/>
  <c r="V65" i="87"/>
  <c r="T65" i="87"/>
  <c r="Q65" i="87"/>
  <c r="O65" i="87"/>
  <c r="L42" i="84"/>
  <c r="L38" i="84"/>
  <c r="L35" i="84"/>
  <c r="L34" i="84"/>
  <c r="L33" i="84"/>
  <c r="J41" i="84"/>
  <c r="J38" i="84"/>
  <c r="J35" i="84"/>
  <c r="J33" i="84"/>
  <c r="J32" i="84"/>
  <c r="J29" i="84"/>
  <c r="J28" i="84"/>
  <c r="N21" i="84"/>
  <c r="L21" i="84"/>
  <c r="J21" i="84"/>
  <c r="F42" i="84"/>
  <c r="F38" i="84"/>
  <c r="F35" i="84"/>
  <c r="F34" i="84"/>
  <c r="F36" i="84" s="1"/>
  <c r="F40" i="84" s="1"/>
  <c r="F33" i="84"/>
  <c r="D42" i="84"/>
  <c r="D41" i="84"/>
  <c r="D40" i="84"/>
  <c r="D38" i="84"/>
  <c r="D35" i="84"/>
  <c r="D33" i="84"/>
  <c r="D32" i="84"/>
  <c r="H21" i="84"/>
  <c r="F21" i="84"/>
  <c r="D21" i="84"/>
  <c r="C39" i="87"/>
  <c r="E19" i="67" l="1"/>
  <c r="L65" i="55" l="1"/>
  <c r="G64" i="55"/>
  <c r="M14" i="2"/>
  <c r="M13" i="2"/>
  <c r="I111" i="70" l="1"/>
  <c r="H110" i="70"/>
  <c r="B12" i="62"/>
  <c r="B13" i="62"/>
  <c r="I25" i="87" l="1"/>
  <c r="I6" i="87"/>
  <c r="B5" i="87"/>
  <c r="J26" i="87" l="1"/>
  <c r="H60" i="70" l="1"/>
  <c r="H92" i="70" s="1"/>
  <c r="H116" i="70" s="1"/>
  <c r="R191" i="63" l="1"/>
  <c r="R186" i="63"/>
  <c r="S184" i="63"/>
  <c r="K94" i="63" l="1"/>
  <c r="J35" i="63"/>
  <c r="J34" i="63"/>
  <c r="M13" i="61" l="1"/>
  <c r="M14" i="61"/>
  <c r="H13" i="61"/>
  <c r="H14" i="61"/>
  <c r="M70" i="58" l="1"/>
  <c r="N69" i="58"/>
  <c r="N68" i="58"/>
  <c r="M67" i="58"/>
  <c r="H66" i="58"/>
  <c r="I67" i="58"/>
  <c r="M60" i="58"/>
  <c r="M61" i="58"/>
  <c r="N59" i="58"/>
  <c r="M58" i="58"/>
  <c r="C74" i="72" l="1"/>
  <c r="C23" i="72"/>
  <c r="E9" i="73"/>
  <c r="E15" i="73"/>
  <c r="G15" i="73" s="1"/>
  <c r="I74" i="72"/>
  <c r="F12" i="72"/>
  <c r="E12" i="72"/>
  <c r="J23" i="72"/>
  <c r="D7" i="72"/>
  <c r="D6" i="72"/>
  <c r="N66" i="61"/>
  <c r="N65" i="61"/>
  <c r="N64" i="61"/>
  <c r="M63" i="61"/>
  <c r="M62" i="61"/>
  <c r="N44" i="61"/>
  <c r="N43" i="61"/>
  <c r="N42" i="61"/>
  <c r="M41" i="61"/>
  <c r="M40" i="61"/>
  <c r="M19" i="61"/>
  <c r="M18" i="61"/>
  <c r="C40" i="61"/>
  <c r="C62" i="61" s="1"/>
  <c r="H29" i="56"/>
  <c r="I29" i="56" l="1"/>
  <c r="N18" i="59"/>
  <c r="Q18" i="56"/>
  <c r="A1" i="87" l="1"/>
  <c r="J37" i="88"/>
  <c r="L18" i="88"/>
  <c r="I18" i="88"/>
  <c r="I26" i="88" s="1"/>
  <c r="L16" i="88"/>
  <c r="L17" i="88" s="1"/>
  <c r="I16" i="88"/>
  <c r="I17" i="88" s="1"/>
  <c r="F16" i="88"/>
  <c r="F17" i="88" s="1"/>
  <c r="L19" i="88" l="1"/>
  <c r="I36" i="88"/>
  <c r="L26" i="88"/>
  <c r="N28" i="88"/>
  <c r="L36" i="88"/>
  <c r="N37" i="88"/>
  <c r="J28" i="88"/>
  <c r="I19" i="88"/>
  <c r="I27" i="88" s="1"/>
  <c r="G28" i="88"/>
  <c r="F19" i="88"/>
  <c r="F27" i="88" s="1"/>
  <c r="A1" i="84" l="1"/>
  <c r="D10" i="84"/>
  <c r="H10" i="84" s="1"/>
  <c r="J10" i="84"/>
  <c r="N10" i="84" s="1"/>
  <c r="H11" i="84"/>
  <c r="J11" i="84"/>
  <c r="N11" i="84" s="1"/>
  <c r="J12" i="84"/>
  <c r="N12" i="84" s="1"/>
  <c r="F13" i="84"/>
  <c r="L13" i="84"/>
  <c r="F16" i="84"/>
  <c r="H16" i="84" s="1"/>
  <c r="L16" i="84"/>
  <c r="N16" i="84" s="1"/>
  <c r="N17" i="84" s="1"/>
  <c r="D17" i="84"/>
  <c r="J17" i="84"/>
  <c r="J19" i="84"/>
  <c r="J20" i="84" s="1"/>
  <c r="N19" i="84"/>
  <c r="R19" i="84" s="1"/>
  <c r="D20" i="84"/>
  <c r="F20" i="84"/>
  <c r="H20" i="84"/>
  <c r="L20" i="84"/>
  <c r="H28" i="84"/>
  <c r="N28" i="84"/>
  <c r="H29" i="84"/>
  <c r="N29" i="84"/>
  <c r="D30" i="84"/>
  <c r="F30" i="84"/>
  <c r="L30" i="84"/>
  <c r="F32" i="84"/>
  <c r="N32" i="84"/>
  <c r="N34" i="84"/>
  <c r="H41" i="84"/>
  <c r="N41" i="84"/>
  <c r="F78" i="87"/>
  <c r="C20" i="83"/>
  <c r="C23" i="79"/>
  <c r="I28" i="79"/>
  <c r="C81" i="79"/>
  <c r="C82" i="79" s="1"/>
  <c r="C92" i="78"/>
  <c r="C93" i="78" s="1"/>
  <c r="I25" i="83"/>
  <c r="I20" i="83"/>
  <c r="I21" i="83"/>
  <c r="I5" i="83"/>
  <c r="I8" i="79"/>
  <c r="I39" i="78"/>
  <c r="I19" i="78"/>
  <c r="D19" i="78"/>
  <c r="R41" i="84" l="1"/>
  <c r="H30" i="84"/>
  <c r="H33" i="84"/>
  <c r="N13" i="84"/>
  <c r="N14" i="84" s="1"/>
  <c r="R29" i="84"/>
  <c r="N30" i="84"/>
  <c r="H13" i="84"/>
  <c r="J30" i="84"/>
  <c r="J40" i="84" s="1"/>
  <c r="J36" i="84"/>
  <c r="L36" i="84"/>
  <c r="L40" i="84" s="1"/>
  <c r="R16" i="84"/>
  <c r="H17" i="84"/>
  <c r="R17" i="84" s="1"/>
  <c r="H34" i="84"/>
  <c r="R34" i="84" s="1"/>
  <c r="N35" i="84"/>
  <c r="H32" i="84"/>
  <c r="R32" i="84" s="1"/>
  <c r="D14" i="84"/>
  <c r="N33" i="84"/>
  <c r="H35" i="84"/>
  <c r="R11" i="84"/>
  <c r="N38" i="84"/>
  <c r="H38" i="84"/>
  <c r="R12" i="84"/>
  <c r="N20" i="84"/>
  <c r="R20" i="84" s="1"/>
  <c r="D36" i="84"/>
  <c r="R28" i="84"/>
  <c r="R10" i="84"/>
  <c r="J14" i="84"/>
  <c r="R13" i="84" l="1"/>
  <c r="R30" i="84"/>
  <c r="H14" i="84"/>
  <c r="R21" i="84" s="1"/>
  <c r="N36" i="84"/>
  <c r="N40" i="84" s="1"/>
  <c r="N42" i="84" s="1"/>
  <c r="J42" i="84"/>
  <c r="H36" i="84"/>
  <c r="R14" i="84" l="1"/>
  <c r="R36" i="84"/>
  <c r="H40" i="84"/>
  <c r="R40" i="84" s="1"/>
  <c r="H42" i="84" l="1"/>
  <c r="R42" i="84" s="1"/>
  <c r="Q80" i="87"/>
  <c r="I64" i="87"/>
  <c r="F74" i="87"/>
  <c r="V74" i="87"/>
  <c r="V64" i="87"/>
  <c r="K64" i="87"/>
  <c r="F64" i="87"/>
  <c r="Q61" i="87"/>
  <c r="F61" i="87"/>
  <c r="F58" i="87"/>
  <c r="F86" i="87"/>
  <c r="K61" i="87"/>
  <c r="I61" i="87"/>
  <c r="K74" i="87"/>
  <c r="I74" i="87"/>
  <c r="F65" i="87" l="1"/>
  <c r="I31" i="87"/>
  <c r="F31" i="87"/>
  <c r="K30" i="87"/>
  <c r="F17" i="87"/>
  <c r="D17" i="87"/>
  <c r="K11" i="87"/>
  <c r="I42" i="87"/>
  <c r="H17" i="87" l="1"/>
  <c r="J7" i="87" l="1"/>
  <c r="B8" i="87"/>
  <c r="C10" i="87"/>
  <c r="J10" i="87"/>
  <c r="C11" i="87"/>
  <c r="J11" i="87"/>
  <c r="C12" i="87"/>
  <c r="J12" i="87"/>
  <c r="C13" i="87"/>
  <c r="J13" i="87"/>
  <c r="C14" i="87"/>
  <c r="J14" i="87"/>
  <c r="C16" i="87"/>
  <c r="J16" i="87"/>
  <c r="C17" i="87"/>
  <c r="J17" i="87"/>
  <c r="J18" i="87"/>
  <c r="C19" i="87"/>
  <c r="J19" i="87"/>
  <c r="C20" i="87"/>
  <c r="C21" i="87"/>
  <c r="J21" i="87"/>
  <c r="B27" i="87"/>
  <c r="J27" i="87"/>
  <c r="J28" i="87"/>
  <c r="C29" i="87"/>
  <c r="J29" i="87"/>
  <c r="C30" i="87"/>
  <c r="J30" i="87"/>
  <c r="C31" i="87"/>
  <c r="J31" i="87"/>
  <c r="J32" i="87"/>
  <c r="C33" i="87"/>
  <c r="J33" i="87"/>
  <c r="C34" i="87"/>
  <c r="J34" i="87"/>
  <c r="C35" i="87"/>
  <c r="J35" i="87"/>
  <c r="C36" i="87"/>
  <c r="J36" i="87"/>
  <c r="C37" i="87"/>
  <c r="J37" i="87"/>
  <c r="J38" i="87"/>
  <c r="J39" i="87"/>
  <c r="J40" i="87"/>
  <c r="C41" i="87"/>
  <c r="J41" i="87"/>
  <c r="C42" i="87"/>
  <c r="J42" i="87"/>
  <c r="C43" i="87"/>
  <c r="J43" i="87"/>
  <c r="K84" i="87"/>
  <c r="K86" i="87" s="1"/>
  <c r="T78" i="87"/>
  <c r="I78" i="87"/>
  <c r="M78" i="87" s="1"/>
  <c r="D74" i="87"/>
  <c r="M73" i="87"/>
  <c r="M72" i="87"/>
  <c r="M64" i="87"/>
  <c r="K65" i="87"/>
  <c r="D64" i="87"/>
  <c r="T61" i="87"/>
  <c r="O61" i="87"/>
  <c r="D61" i="87"/>
  <c r="M60" i="87"/>
  <c r="M61" i="87" s="1"/>
  <c r="T57" i="87"/>
  <c r="M57" i="87"/>
  <c r="M55" i="87"/>
  <c r="F39" i="58"/>
  <c r="M74" i="87" l="1"/>
  <c r="F35" i="87"/>
  <c r="F37" i="87" s="1"/>
  <c r="M45" i="58" l="1"/>
  <c r="M24" i="58"/>
  <c r="M43" i="2"/>
  <c r="M44" i="2"/>
  <c r="L72" i="55"/>
  <c r="L71" i="55"/>
  <c r="L27" i="55"/>
  <c r="L26" i="55"/>
  <c r="L49" i="55"/>
  <c r="H40" i="61" l="1"/>
  <c r="H62" i="61" s="1"/>
  <c r="H45" i="58"/>
  <c r="G29" i="56"/>
  <c r="G28" i="56"/>
  <c r="G38" i="55"/>
  <c r="G62" i="55" s="1"/>
  <c r="G85" i="55" s="1"/>
  <c r="I74" i="76" l="1"/>
  <c r="I105" i="70"/>
  <c r="I81" i="70"/>
  <c r="I55" i="70"/>
  <c r="I46" i="58"/>
  <c r="H34" i="85" l="1"/>
  <c r="H22" i="85"/>
  <c r="A1" i="85"/>
  <c r="F43" i="85" l="1"/>
  <c r="D7" i="78"/>
  <c r="D6" i="78"/>
  <c r="F70" i="80"/>
  <c r="P70" i="80" s="1"/>
  <c r="F58" i="80"/>
  <c r="P58" i="80" s="1"/>
  <c r="F46" i="80"/>
  <c r="P46" i="80" s="1"/>
  <c r="F34" i="80"/>
  <c r="P34" i="80" s="1"/>
  <c r="F22" i="80"/>
  <c r="P22" i="80" s="1"/>
  <c r="M8" i="80"/>
  <c r="F10" i="80"/>
  <c r="P10" i="80" s="1"/>
  <c r="E8" i="80"/>
  <c r="O8" i="80" s="1"/>
  <c r="M82" i="80"/>
  <c r="N81" i="80"/>
  <c r="M80" i="80"/>
  <c r="M71" i="80"/>
  <c r="I71" i="80"/>
  <c r="N70" i="80"/>
  <c r="I70" i="80"/>
  <c r="M69" i="80"/>
  <c r="M68" i="80"/>
  <c r="M59" i="80"/>
  <c r="I59" i="80"/>
  <c r="N58" i="80"/>
  <c r="I58" i="80"/>
  <c r="M57" i="80"/>
  <c r="M56" i="80"/>
  <c r="M47" i="80"/>
  <c r="I47" i="80"/>
  <c r="N46" i="80"/>
  <c r="I46" i="80"/>
  <c r="M45" i="80"/>
  <c r="M44" i="80"/>
  <c r="M35" i="80"/>
  <c r="I35" i="80"/>
  <c r="N34" i="80"/>
  <c r="I34" i="80"/>
  <c r="M33" i="80"/>
  <c r="M32" i="80"/>
  <c r="M23" i="80"/>
  <c r="I23" i="80"/>
  <c r="N22" i="80"/>
  <c r="I22" i="80"/>
  <c r="M21" i="80"/>
  <c r="M20" i="80"/>
  <c r="I10" i="80"/>
  <c r="N10" i="80"/>
  <c r="N9" i="80"/>
  <c r="H8" i="80"/>
  <c r="M7" i="80"/>
  <c r="D13" i="78"/>
  <c r="C34" i="78"/>
  <c r="E34" i="78" s="1"/>
  <c r="D18" i="78"/>
  <c r="C32" i="78" s="1"/>
  <c r="C35" i="78" s="1"/>
  <c r="C36" i="78" s="1"/>
  <c r="C37" i="78" s="1"/>
  <c r="D20" i="78"/>
  <c r="D32" i="78" s="1"/>
  <c r="F15" i="78"/>
  <c r="F12" i="78"/>
  <c r="F11" i="78"/>
  <c r="H43" i="85" l="1"/>
  <c r="D85" i="87"/>
  <c r="I85" i="87" s="1"/>
  <c r="D43" i="85"/>
  <c r="O85" i="87"/>
  <c r="T85" i="87" s="1"/>
  <c r="D21" i="78"/>
  <c r="C38" i="78"/>
  <c r="M40" i="82"/>
  <c r="I40" i="82"/>
  <c r="N39" i="82"/>
  <c r="I39" i="82"/>
  <c r="M38" i="82"/>
  <c r="M37" i="82"/>
  <c r="M34" i="82"/>
  <c r="I34" i="82"/>
  <c r="N33" i="82"/>
  <c r="I33" i="82"/>
  <c r="M32" i="82"/>
  <c r="M31" i="82"/>
  <c r="M28" i="82"/>
  <c r="I28" i="82"/>
  <c r="N27" i="82"/>
  <c r="I27" i="82"/>
  <c r="M26" i="82"/>
  <c r="M25" i="82"/>
  <c r="M22" i="82"/>
  <c r="I22" i="82"/>
  <c r="N21" i="82"/>
  <c r="I21" i="82"/>
  <c r="M20" i="82"/>
  <c r="M19" i="82"/>
  <c r="M16" i="82"/>
  <c r="N15" i="82"/>
  <c r="M14" i="82"/>
  <c r="M13" i="82"/>
  <c r="I16" i="82"/>
  <c r="I15" i="82"/>
  <c r="N9" i="82"/>
  <c r="E20" i="83"/>
  <c r="D6" i="83"/>
  <c r="D18" i="83" s="1"/>
  <c r="D4" i="83"/>
  <c r="M77" i="80"/>
  <c r="N76" i="80"/>
  <c r="N75" i="80"/>
  <c r="M74" i="80"/>
  <c r="M65" i="80"/>
  <c r="N64" i="80"/>
  <c r="N63" i="80"/>
  <c r="M62" i="80"/>
  <c r="M53" i="80"/>
  <c r="N52" i="80"/>
  <c r="N51" i="80"/>
  <c r="M50" i="80"/>
  <c r="M41" i="80"/>
  <c r="N40" i="80"/>
  <c r="N39" i="80"/>
  <c r="M38" i="80"/>
  <c r="M14" i="80"/>
  <c r="M29" i="80"/>
  <c r="N28" i="80"/>
  <c r="N27" i="80"/>
  <c r="M26" i="80"/>
  <c r="D9" i="79"/>
  <c r="D21" i="79" s="1"/>
  <c r="D7" i="79"/>
  <c r="M45" i="82"/>
  <c r="N44" i="82"/>
  <c r="M43" i="82"/>
  <c r="I10" i="82"/>
  <c r="N8" i="82"/>
  <c r="H8" i="82"/>
  <c r="M7" i="82"/>
  <c r="M89" i="80"/>
  <c r="M88" i="80"/>
  <c r="N87" i="80"/>
  <c r="M86" i="80"/>
  <c r="M17" i="80"/>
  <c r="N16" i="80"/>
  <c r="M15" i="80"/>
  <c r="F32" i="78" l="1"/>
  <c r="F9" i="80"/>
  <c r="X85" i="87"/>
  <c r="D42" i="87"/>
  <c r="M85" i="87"/>
  <c r="F42" i="87"/>
  <c r="D12" i="85"/>
  <c r="O56" i="87"/>
  <c r="T56" i="87" s="1"/>
  <c r="C18" i="83"/>
  <c r="C21" i="83" s="1"/>
  <c r="C21" i="79"/>
  <c r="C24" i="79" s="1"/>
  <c r="E26" i="80" s="1"/>
  <c r="O26" i="80" s="1"/>
  <c r="F34" i="78"/>
  <c r="I18" i="78"/>
  <c r="I20" i="78" s="1"/>
  <c r="C39" i="78"/>
  <c r="F9" i="82"/>
  <c r="E14" i="80"/>
  <c r="D7" i="83"/>
  <c r="F8" i="82" s="1"/>
  <c r="D10" i="79"/>
  <c r="I7" i="79" s="1"/>
  <c r="K42" i="87" l="1"/>
  <c r="I31" i="78"/>
  <c r="E7" i="80"/>
  <c r="J8" i="80"/>
  <c r="Z85" i="87"/>
  <c r="I9" i="79"/>
  <c r="I20" i="79" s="1"/>
  <c r="I23" i="79" s="1"/>
  <c r="X56" i="87"/>
  <c r="Z56" i="87" s="1"/>
  <c r="D12" i="87"/>
  <c r="K12" i="87" s="1"/>
  <c r="F15" i="82"/>
  <c r="P15" i="82" s="1"/>
  <c r="C22" i="83"/>
  <c r="F21" i="82" s="1"/>
  <c r="P21" i="82" s="1"/>
  <c r="D82" i="87"/>
  <c r="P9" i="82"/>
  <c r="D35" i="78"/>
  <c r="I38" i="78"/>
  <c r="I34" i="78"/>
  <c r="K81" i="80" s="1"/>
  <c r="I35" i="78"/>
  <c r="I37" i="78"/>
  <c r="I36" i="78"/>
  <c r="C40" i="78"/>
  <c r="O14" i="80"/>
  <c r="I4" i="83"/>
  <c r="I6" i="83" s="1"/>
  <c r="I17" i="83" s="1"/>
  <c r="F20" i="83"/>
  <c r="F18" i="83"/>
  <c r="F23" i="79"/>
  <c r="F21" i="79"/>
  <c r="C25" i="79"/>
  <c r="E15" i="80"/>
  <c r="E35" i="78" l="1"/>
  <c r="E21" i="80"/>
  <c r="K23" i="80" s="1"/>
  <c r="J21" i="80" s="1"/>
  <c r="O21" i="80" s="1"/>
  <c r="O82" i="87"/>
  <c r="T82" i="87" s="1"/>
  <c r="K9" i="80"/>
  <c r="V82" i="87"/>
  <c r="I39" i="87" s="1"/>
  <c r="P81" i="80"/>
  <c r="J80" i="80"/>
  <c r="K10" i="80"/>
  <c r="F16" i="80"/>
  <c r="P16" i="80" s="1"/>
  <c r="C23" i="83"/>
  <c r="F27" i="82" s="1"/>
  <c r="P27" i="82" s="1"/>
  <c r="E38" i="80"/>
  <c r="O38" i="80" s="1"/>
  <c r="F82" i="87"/>
  <c r="I82" i="87" s="1"/>
  <c r="F39" i="87" s="1"/>
  <c r="I27" i="78"/>
  <c r="C41" i="78"/>
  <c r="E7" i="82"/>
  <c r="D21" i="83"/>
  <c r="I27" i="79"/>
  <c r="I25" i="79"/>
  <c r="I24" i="79"/>
  <c r="I26" i="79"/>
  <c r="O15" i="80"/>
  <c r="C26" i="79"/>
  <c r="E50" i="80" s="1"/>
  <c r="O80" i="80" l="1"/>
  <c r="P9" i="80"/>
  <c r="D39" i="87"/>
  <c r="K39" i="87" s="1"/>
  <c r="X82" i="87"/>
  <c r="O79" i="87"/>
  <c r="T79" i="87" s="1"/>
  <c r="J7" i="80"/>
  <c r="V79" i="87"/>
  <c r="I36" i="87" s="1"/>
  <c r="F35" i="78"/>
  <c r="D36" i="78" s="1"/>
  <c r="E20" i="80"/>
  <c r="C24" i="83"/>
  <c r="F33" i="82" s="1"/>
  <c r="P33" i="82" s="1"/>
  <c r="I23" i="83"/>
  <c r="I16" i="79"/>
  <c r="M82" i="87"/>
  <c r="I24" i="83"/>
  <c r="D79" i="87"/>
  <c r="K44" i="82"/>
  <c r="J43" i="82" s="1"/>
  <c r="I22" i="83"/>
  <c r="C42" i="78"/>
  <c r="E21" i="83"/>
  <c r="E14" i="82"/>
  <c r="O50" i="80"/>
  <c r="C25" i="83"/>
  <c r="E86" i="80"/>
  <c r="K10" i="82"/>
  <c r="J8" i="82"/>
  <c r="C27" i="79"/>
  <c r="E62" i="80" s="1"/>
  <c r="E23" i="79"/>
  <c r="M15" i="74"/>
  <c r="M75" i="76"/>
  <c r="N74" i="76"/>
  <c r="M73" i="76"/>
  <c r="M70" i="76"/>
  <c r="M69" i="76"/>
  <c r="N68" i="76"/>
  <c r="M67" i="76"/>
  <c r="M64" i="76"/>
  <c r="N63" i="76"/>
  <c r="M62" i="76"/>
  <c r="M59" i="76"/>
  <c r="N58" i="76"/>
  <c r="M57" i="76"/>
  <c r="M51" i="76"/>
  <c r="N52" i="76"/>
  <c r="M48" i="76"/>
  <c r="M49" i="76"/>
  <c r="M50" i="76"/>
  <c r="M47" i="76"/>
  <c r="I52" i="76"/>
  <c r="I51" i="76"/>
  <c r="M41" i="76"/>
  <c r="N42" i="76"/>
  <c r="M43" i="76"/>
  <c r="M35" i="76"/>
  <c r="N36" i="76"/>
  <c r="M37" i="76"/>
  <c r="M38" i="76"/>
  <c r="N26" i="76"/>
  <c r="M27" i="76"/>
  <c r="M25" i="76"/>
  <c r="N20" i="76"/>
  <c r="M19" i="76"/>
  <c r="I22" i="76"/>
  <c r="H20" i="76"/>
  <c r="N15" i="76"/>
  <c r="M14" i="76"/>
  <c r="H14" i="76"/>
  <c r="M8" i="76"/>
  <c r="N10" i="76"/>
  <c r="N9" i="76"/>
  <c r="M7" i="76"/>
  <c r="E5" i="73"/>
  <c r="K9" i="76"/>
  <c r="P9" i="76" s="1"/>
  <c r="J8" i="76"/>
  <c r="O8" i="76" s="1"/>
  <c r="H7" i="76"/>
  <c r="M32" i="76"/>
  <c r="N31" i="76"/>
  <c r="M30" i="76"/>
  <c r="M83" i="74"/>
  <c r="M82" i="74"/>
  <c r="N81" i="74"/>
  <c r="M80" i="74"/>
  <c r="M79" i="74"/>
  <c r="M76" i="74"/>
  <c r="N75" i="74"/>
  <c r="M74" i="74"/>
  <c r="N68" i="74"/>
  <c r="N69" i="74"/>
  <c r="M66" i="74"/>
  <c r="M67" i="74"/>
  <c r="M59" i="74"/>
  <c r="E58" i="74"/>
  <c r="K61" i="74" s="1"/>
  <c r="M54" i="74"/>
  <c r="M53" i="74"/>
  <c r="N52" i="74"/>
  <c r="N51" i="74"/>
  <c r="N50" i="74"/>
  <c r="N49" i="74"/>
  <c r="M47" i="74"/>
  <c r="H47" i="74"/>
  <c r="N48" i="74" s="1"/>
  <c r="M34" i="74"/>
  <c r="N35" i="74"/>
  <c r="M36" i="74"/>
  <c r="M40" i="74"/>
  <c r="J40" i="74"/>
  <c r="O40" i="74" s="1"/>
  <c r="K41" i="74"/>
  <c r="P41" i="74" s="1"/>
  <c r="G27" i="71"/>
  <c r="H27" i="71" s="1"/>
  <c r="H25" i="71"/>
  <c r="M27" i="74"/>
  <c r="M26" i="74"/>
  <c r="N29" i="74"/>
  <c r="N28" i="74"/>
  <c r="M21" i="74"/>
  <c r="N22" i="74"/>
  <c r="M23" i="74"/>
  <c r="M17" i="74"/>
  <c r="M18" i="74"/>
  <c r="N16" i="74"/>
  <c r="M14" i="74"/>
  <c r="M11" i="74"/>
  <c r="I15" i="74"/>
  <c r="N10" i="74"/>
  <c r="H7" i="74"/>
  <c r="F10" i="74"/>
  <c r="J7" i="74" s="1"/>
  <c r="K10" i="74" s="1"/>
  <c r="P10" i="74" s="1"/>
  <c r="D19" i="71"/>
  <c r="D20" i="71" s="1"/>
  <c r="F9" i="74"/>
  <c r="J8" i="74" s="1"/>
  <c r="K9" i="74" s="1"/>
  <c r="P9" i="74" s="1"/>
  <c r="E8" i="74"/>
  <c r="O8" i="74" s="1"/>
  <c r="I61" i="74"/>
  <c r="N60" i="74"/>
  <c r="I60" i="74"/>
  <c r="M58" i="74"/>
  <c r="M57" i="74"/>
  <c r="M43" i="74"/>
  <c r="M42" i="74"/>
  <c r="N41" i="74"/>
  <c r="M39" i="74"/>
  <c r="N9" i="74"/>
  <c r="H8" i="74"/>
  <c r="M7" i="74"/>
  <c r="O23" i="73"/>
  <c r="F15" i="73"/>
  <c r="G14" i="73"/>
  <c r="F14" i="73"/>
  <c r="R23" i="73" s="1"/>
  <c r="C6" i="72"/>
  <c r="C7" i="72" s="1"/>
  <c r="O23" i="72"/>
  <c r="D7" i="71"/>
  <c r="D18" i="71"/>
  <c r="D16" i="72" l="1"/>
  <c r="E15" i="74"/>
  <c r="O15" i="74" s="1"/>
  <c r="L23" i="72"/>
  <c r="O7" i="80"/>
  <c r="K22" i="80"/>
  <c r="J20" i="80" s="1"/>
  <c r="D38" i="85"/>
  <c r="V78" i="87"/>
  <c r="E36" i="78"/>
  <c r="E33" i="80"/>
  <c r="K35" i="80" s="1"/>
  <c r="J33" i="80" s="1"/>
  <c r="O33" i="80" s="1"/>
  <c r="X79" i="87"/>
  <c r="D36" i="87"/>
  <c r="K36" i="87" s="1"/>
  <c r="I13" i="83"/>
  <c r="F39" i="82"/>
  <c r="P39" i="82" s="1"/>
  <c r="I10" i="83"/>
  <c r="F79" i="87"/>
  <c r="I79" i="87" s="1"/>
  <c r="M79" i="87" s="1"/>
  <c r="F10" i="85"/>
  <c r="G38" i="85"/>
  <c r="C43" i="78"/>
  <c r="K9" i="82"/>
  <c r="J7" i="82"/>
  <c r="K16" i="82"/>
  <c r="J14" i="82" s="1"/>
  <c r="F21" i="83"/>
  <c r="D22" i="83" s="1"/>
  <c r="E13" i="82"/>
  <c r="F87" i="80"/>
  <c r="O62" i="80"/>
  <c r="C26" i="83"/>
  <c r="O86" i="80"/>
  <c r="O43" i="82"/>
  <c r="P44" i="82"/>
  <c r="C28" i="79"/>
  <c r="E74" i="80" s="1"/>
  <c r="O54" i="87" s="1"/>
  <c r="J58" i="74"/>
  <c r="O58" i="74" s="1"/>
  <c r="J39" i="74"/>
  <c r="O39" i="74" s="1"/>
  <c r="E14" i="74"/>
  <c r="K15" i="74" s="1"/>
  <c r="J14" i="74" s="1"/>
  <c r="O14" i="74" s="1"/>
  <c r="C8" i="72"/>
  <c r="E23" i="73"/>
  <c r="D8" i="71"/>
  <c r="F13" i="73"/>
  <c r="D23" i="73" s="1"/>
  <c r="D25" i="73" s="1"/>
  <c r="E4" i="73"/>
  <c r="E7" i="74"/>
  <c r="J23" i="73"/>
  <c r="D23" i="72"/>
  <c r="C27" i="71"/>
  <c r="F25" i="71"/>
  <c r="D27" i="71" s="1"/>
  <c r="H14" i="71"/>
  <c r="C28" i="71" l="1"/>
  <c r="F59" i="74"/>
  <c r="P60" i="74" s="1"/>
  <c r="F13" i="72"/>
  <c r="C25" i="72"/>
  <c r="C26" i="72" s="1"/>
  <c r="E13" i="72"/>
  <c r="F16" i="72"/>
  <c r="E16" i="72"/>
  <c r="D26" i="73"/>
  <c r="D27" i="73" s="1"/>
  <c r="D28" i="73" s="1"/>
  <c r="D29" i="73" s="1"/>
  <c r="I35" i="87"/>
  <c r="K35" i="87" s="1"/>
  <c r="X78" i="87"/>
  <c r="Z78" i="87" s="1"/>
  <c r="O20" i="80"/>
  <c r="F36" i="78"/>
  <c r="D37" i="78" s="1"/>
  <c r="E32" i="80"/>
  <c r="D13" i="85"/>
  <c r="V57" i="87"/>
  <c r="O63" i="87"/>
  <c r="T54" i="87"/>
  <c r="I13" i="79"/>
  <c r="D54" i="87"/>
  <c r="G13" i="85"/>
  <c r="H38" i="85"/>
  <c r="O7" i="82"/>
  <c r="C44" i="78"/>
  <c r="O14" i="82"/>
  <c r="K15" i="82"/>
  <c r="P8" i="82"/>
  <c r="E22" i="83"/>
  <c r="E20" i="82"/>
  <c r="O74" i="80"/>
  <c r="P87" i="80"/>
  <c r="C27" i="83"/>
  <c r="C29" i="79"/>
  <c r="D24" i="79"/>
  <c r="F28" i="80" s="1"/>
  <c r="E6" i="73"/>
  <c r="E7" i="76"/>
  <c r="O7" i="76" s="1"/>
  <c r="E8" i="73"/>
  <c r="E14" i="76" s="1"/>
  <c r="F16" i="74"/>
  <c r="P16" i="74" s="1"/>
  <c r="O7" i="74"/>
  <c r="J59" i="74"/>
  <c r="O59" i="74" s="1"/>
  <c r="F17" i="73"/>
  <c r="G13" i="73"/>
  <c r="C27" i="72"/>
  <c r="E27" i="71"/>
  <c r="C29" i="71"/>
  <c r="M113" i="70"/>
  <c r="M112" i="70"/>
  <c r="N111" i="70"/>
  <c r="M110" i="70"/>
  <c r="M86" i="70"/>
  <c r="M88" i="70"/>
  <c r="M89" i="70"/>
  <c r="I87" i="70"/>
  <c r="N87" i="70" s="1"/>
  <c r="I29" i="70"/>
  <c r="M118" i="70"/>
  <c r="N117" i="70"/>
  <c r="M116" i="70"/>
  <c r="M107" i="70"/>
  <c r="M106" i="70"/>
  <c r="N105" i="70"/>
  <c r="M104" i="70"/>
  <c r="M101" i="70"/>
  <c r="I101" i="70"/>
  <c r="N100" i="70"/>
  <c r="I100" i="70"/>
  <c r="M99" i="70"/>
  <c r="M98" i="70"/>
  <c r="N76" i="70"/>
  <c r="M75" i="70"/>
  <c r="M77" i="70"/>
  <c r="M94" i="70"/>
  <c r="N93" i="70"/>
  <c r="M92" i="70"/>
  <c r="M83" i="70"/>
  <c r="M82" i="70"/>
  <c r="N81" i="70"/>
  <c r="M80" i="70"/>
  <c r="M72" i="70"/>
  <c r="I72" i="70"/>
  <c r="N71" i="70"/>
  <c r="I71" i="70"/>
  <c r="M70" i="70"/>
  <c r="M69" i="70"/>
  <c r="M57" i="70"/>
  <c r="M56" i="70"/>
  <c r="N55" i="70"/>
  <c r="M54" i="70"/>
  <c r="M51" i="70"/>
  <c r="M35" i="70"/>
  <c r="N36" i="70"/>
  <c r="M37" i="70"/>
  <c r="M31" i="70"/>
  <c r="M32" i="70"/>
  <c r="N30" i="70"/>
  <c r="N28" i="70"/>
  <c r="M27" i="70"/>
  <c r="M15" i="70"/>
  <c r="C21" i="70"/>
  <c r="D29" i="70" s="1"/>
  <c r="N29" i="70" s="1"/>
  <c r="M62" i="70"/>
  <c r="N61" i="70"/>
  <c r="M60" i="70"/>
  <c r="I51" i="70"/>
  <c r="N50" i="70"/>
  <c r="I50" i="70"/>
  <c r="M49" i="70"/>
  <c r="M48" i="70"/>
  <c r="M42" i="70"/>
  <c r="N41" i="70"/>
  <c r="M40" i="70"/>
  <c r="M23" i="70"/>
  <c r="N22" i="70"/>
  <c r="M17" i="70"/>
  <c r="N16" i="70"/>
  <c r="M62" i="69"/>
  <c r="B61" i="69"/>
  <c r="M60" i="69" s="1"/>
  <c r="P60" i="69" s="1"/>
  <c r="B60" i="69"/>
  <c r="M59" i="69" s="1"/>
  <c r="P59" i="69" s="1"/>
  <c r="B59" i="69"/>
  <c r="M58" i="69" s="1"/>
  <c r="P58" i="69" s="1"/>
  <c r="B58" i="69"/>
  <c r="M57" i="69" s="1"/>
  <c r="P57" i="69" s="1"/>
  <c r="B57" i="69"/>
  <c r="M56" i="69" s="1"/>
  <c r="P56" i="69" s="1"/>
  <c r="B56" i="69"/>
  <c r="M55" i="69" s="1"/>
  <c r="P55" i="69" s="1"/>
  <c r="B55" i="69"/>
  <c r="M54" i="69" s="1"/>
  <c r="P54" i="69" s="1"/>
  <c r="B54" i="69"/>
  <c r="M53" i="69" s="1"/>
  <c r="P53" i="69" s="1"/>
  <c r="B53" i="69"/>
  <c r="M52" i="69" s="1"/>
  <c r="P52" i="69" s="1"/>
  <c r="B52" i="69"/>
  <c r="M51" i="69" s="1"/>
  <c r="P51" i="69" s="1"/>
  <c r="B51" i="69"/>
  <c r="M50" i="69" s="1"/>
  <c r="P50" i="69" s="1"/>
  <c r="B50" i="69"/>
  <c r="M49" i="69" s="1"/>
  <c r="P49" i="69" s="1"/>
  <c r="B49" i="69"/>
  <c r="M48" i="69" s="1"/>
  <c r="P48" i="69" s="1"/>
  <c r="B48" i="69"/>
  <c r="M47" i="69" s="1"/>
  <c r="P47" i="69" s="1"/>
  <c r="B47" i="69"/>
  <c r="M46" i="69" s="1"/>
  <c r="P46" i="69" s="1"/>
  <c r="B46" i="69"/>
  <c r="M45" i="69" s="1"/>
  <c r="P45" i="69" s="1"/>
  <c r="B45" i="69"/>
  <c r="M44" i="69" s="1"/>
  <c r="P44" i="69" s="1"/>
  <c r="B44" i="69"/>
  <c r="M43" i="69" s="1"/>
  <c r="P43" i="69" s="1"/>
  <c r="B43" i="69"/>
  <c r="M42" i="69" s="1"/>
  <c r="P42" i="69" s="1"/>
  <c r="B42" i="69"/>
  <c r="M41" i="69" s="1"/>
  <c r="P41" i="69" s="1"/>
  <c r="B41" i="69"/>
  <c r="M40" i="69" s="1"/>
  <c r="P40" i="69" s="1"/>
  <c r="B40" i="69"/>
  <c r="M39" i="69" s="1"/>
  <c r="P39" i="69" s="1"/>
  <c r="B39" i="69"/>
  <c r="M38" i="69" s="1"/>
  <c r="P38" i="69" s="1"/>
  <c r="B38" i="69"/>
  <c r="M37" i="69" s="1"/>
  <c r="P37" i="69" s="1"/>
  <c r="B37" i="69"/>
  <c r="M36" i="69" s="1"/>
  <c r="P36" i="69" s="1"/>
  <c r="B36" i="69"/>
  <c r="M35" i="69" s="1"/>
  <c r="P35" i="69" s="1"/>
  <c r="B35" i="69"/>
  <c r="M34" i="69" s="1"/>
  <c r="P34" i="69" s="1"/>
  <c r="B34" i="69"/>
  <c r="M33" i="69" s="1"/>
  <c r="P33" i="69" s="1"/>
  <c r="B33" i="69"/>
  <c r="M32" i="69" s="1"/>
  <c r="P32" i="69" s="1"/>
  <c r="B32" i="69"/>
  <c r="M31" i="69" s="1"/>
  <c r="P31" i="69" s="1"/>
  <c r="B31" i="69"/>
  <c r="M30" i="69" s="1"/>
  <c r="P30" i="69" s="1"/>
  <c r="B30" i="69"/>
  <c r="M29" i="69" s="1"/>
  <c r="P29" i="69" s="1"/>
  <c r="B29" i="69"/>
  <c r="M28" i="69" s="1"/>
  <c r="P28" i="69" s="1"/>
  <c r="B28" i="69"/>
  <c r="M27" i="69" s="1"/>
  <c r="P27" i="69" s="1"/>
  <c r="B27" i="69"/>
  <c r="M26" i="69" s="1"/>
  <c r="P26" i="69" s="1"/>
  <c r="B26" i="69"/>
  <c r="M25" i="69" s="1"/>
  <c r="P25" i="69" s="1"/>
  <c r="B25" i="69"/>
  <c r="M24" i="69" s="1"/>
  <c r="P24" i="69" s="1"/>
  <c r="B24" i="69"/>
  <c r="M23" i="69" s="1"/>
  <c r="P23" i="69" s="1"/>
  <c r="B23" i="69"/>
  <c r="M22" i="69" s="1"/>
  <c r="P22" i="69" s="1"/>
  <c r="B22" i="69"/>
  <c r="B21" i="69"/>
  <c r="I20" i="69"/>
  <c r="D20" i="69"/>
  <c r="H8" i="69"/>
  <c r="P178" i="63"/>
  <c r="U177" i="63" s="1"/>
  <c r="P49" i="63"/>
  <c r="P74" i="63"/>
  <c r="P116" i="63"/>
  <c r="P152" i="63"/>
  <c r="O173" i="63"/>
  <c r="K130" i="63"/>
  <c r="J129" i="63"/>
  <c r="J128" i="63"/>
  <c r="K168" i="63"/>
  <c r="J166" i="63"/>
  <c r="J167" i="63"/>
  <c r="J172" i="63"/>
  <c r="T172" i="63" s="1"/>
  <c r="J173" i="63"/>
  <c r="P176" i="63" s="1"/>
  <c r="J174" i="63"/>
  <c r="T173" i="63" s="1"/>
  <c r="K175" i="63"/>
  <c r="K225" i="63"/>
  <c r="U225" i="63" s="1"/>
  <c r="J224" i="63"/>
  <c r="P226" i="63" s="1"/>
  <c r="O224" i="63" s="1"/>
  <c r="T224" i="63" s="1"/>
  <c r="J223" i="63"/>
  <c r="P225" i="63" s="1"/>
  <c r="O223" i="63" s="1"/>
  <c r="O248" i="63"/>
  <c r="P249" i="63"/>
  <c r="U249" i="63" s="1"/>
  <c r="R244" i="63"/>
  <c r="S243" i="63"/>
  <c r="R242" i="63"/>
  <c r="R220" i="63"/>
  <c r="S219" i="63"/>
  <c r="S218" i="63"/>
  <c r="R217" i="63"/>
  <c r="M217" i="63"/>
  <c r="S183" i="63"/>
  <c r="R182" i="63"/>
  <c r="R185" i="63"/>
  <c r="R205" i="63"/>
  <c r="S204" i="63"/>
  <c r="R203" i="63"/>
  <c r="R147" i="63"/>
  <c r="S146" i="63"/>
  <c r="R145" i="63"/>
  <c r="R163" i="63"/>
  <c r="S162" i="63"/>
  <c r="S161" i="63"/>
  <c r="R160" i="63"/>
  <c r="M160" i="63"/>
  <c r="R125" i="63"/>
  <c r="S123" i="63"/>
  <c r="S124" i="63"/>
  <c r="R122" i="63"/>
  <c r="M122" i="63"/>
  <c r="R109" i="63"/>
  <c r="S110" i="63"/>
  <c r="R111" i="63"/>
  <c r="R239" i="63"/>
  <c r="S238" i="63"/>
  <c r="R237" i="63"/>
  <c r="R252" i="63"/>
  <c r="R251" i="63"/>
  <c r="S250" i="63"/>
  <c r="S249" i="63"/>
  <c r="R248" i="63"/>
  <c r="R247" i="63"/>
  <c r="S232" i="63"/>
  <c r="S231" i="63"/>
  <c r="R230" i="63"/>
  <c r="R229" i="63"/>
  <c r="R226" i="63"/>
  <c r="N226" i="63"/>
  <c r="S225" i="63"/>
  <c r="N225" i="63"/>
  <c r="R224" i="63"/>
  <c r="R223" i="63"/>
  <c r="R179" i="63"/>
  <c r="R209" i="63"/>
  <c r="O209" i="63"/>
  <c r="T209" i="63" s="1"/>
  <c r="P210" i="63"/>
  <c r="O43" i="67"/>
  <c r="O44" i="67" s="1"/>
  <c r="O45" i="67" s="1"/>
  <c r="O46" i="67" s="1"/>
  <c r="O47" i="67" s="1"/>
  <c r="O48" i="67" s="1"/>
  <c r="O49" i="67" s="1"/>
  <c r="O50" i="67" s="1"/>
  <c r="O51" i="67" s="1"/>
  <c r="O52" i="67" s="1"/>
  <c r="O53" i="67" s="1"/>
  <c r="O54" i="67" s="1"/>
  <c r="O55" i="67" s="1"/>
  <c r="O56" i="67" s="1"/>
  <c r="O57" i="67" s="1"/>
  <c r="O58" i="67" s="1"/>
  <c r="O59" i="67" s="1"/>
  <c r="O60" i="67" s="1"/>
  <c r="O61" i="67" s="1"/>
  <c r="O62" i="67" s="1"/>
  <c r="O63" i="67" s="1"/>
  <c r="O64" i="67" s="1"/>
  <c r="O65" i="67" s="1"/>
  <c r="O66" i="67" s="1"/>
  <c r="O67" i="67" s="1"/>
  <c r="O68" i="67" s="1"/>
  <c r="O69" i="67" s="1"/>
  <c r="O70" i="67" s="1"/>
  <c r="O71" i="67" s="1"/>
  <c r="O72" i="67" s="1"/>
  <c r="O73" i="67" s="1"/>
  <c r="O74" i="67" s="1"/>
  <c r="O42" i="67"/>
  <c r="N44" i="67"/>
  <c r="N45" i="67"/>
  <c r="N46" i="67"/>
  <c r="N47" i="67"/>
  <c r="N48" i="67"/>
  <c r="N49" i="67"/>
  <c r="N50" i="67"/>
  <c r="N51" i="67"/>
  <c r="N52" i="67"/>
  <c r="N53" i="67"/>
  <c r="N54" i="67"/>
  <c r="N55" i="67"/>
  <c r="N56" i="67"/>
  <c r="N57" i="67"/>
  <c r="N58" i="67"/>
  <c r="N59" i="67"/>
  <c r="N60" i="67"/>
  <c r="N61" i="67"/>
  <c r="N62" i="67"/>
  <c r="N63" i="67"/>
  <c r="N64" i="67"/>
  <c r="N65" i="67"/>
  <c r="N66" i="67"/>
  <c r="N67" i="67"/>
  <c r="N68" i="67"/>
  <c r="N69" i="67"/>
  <c r="N70" i="67"/>
  <c r="N71" i="67"/>
  <c r="N72" i="67"/>
  <c r="N73" i="67"/>
  <c r="N74" i="67"/>
  <c r="N43" i="67"/>
  <c r="N42" i="67"/>
  <c r="O30" i="67"/>
  <c r="S193" i="63"/>
  <c r="R190" i="63"/>
  <c r="S60" i="68"/>
  <c r="S178" i="63"/>
  <c r="S177" i="63"/>
  <c r="S176" i="63"/>
  <c r="R175" i="63"/>
  <c r="R174" i="63"/>
  <c r="R172" i="63"/>
  <c r="P177" i="63"/>
  <c r="U176" i="63" s="1"/>
  <c r="L14" i="67"/>
  <c r="M175" i="63"/>
  <c r="M174" i="63"/>
  <c r="P179" i="63"/>
  <c r="U178" i="63" s="1"/>
  <c r="O172" i="63"/>
  <c r="T174" i="63" s="1"/>
  <c r="K176" i="63"/>
  <c r="O175" i="63" s="1"/>
  <c r="M22" i="67"/>
  <c r="N22" i="67" s="1"/>
  <c r="F27" i="71" l="1"/>
  <c r="E57" i="74"/>
  <c r="K60" i="74" s="1"/>
  <c r="J57" i="74" s="1"/>
  <c r="O57" i="74" s="1"/>
  <c r="O22" i="72"/>
  <c r="O74" i="72" s="1"/>
  <c r="F23" i="72"/>
  <c r="D25" i="72" s="1"/>
  <c r="E25" i="72" s="1"/>
  <c r="E21" i="74"/>
  <c r="O21" i="74" s="1"/>
  <c r="F22" i="74"/>
  <c r="P22" i="74" s="1"/>
  <c r="O14" i="76"/>
  <c r="F15" i="76"/>
  <c r="J14" i="76" s="1"/>
  <c r="K15" i="76" s="1"/>
  <c r="P15" i="76" s="1"/>
  <c r="R22" i="73"/>
  <c r="R67" i="73" s="1"/>
  <c r="K10" i="76"/>
  <c r="P10" i="76" s="1"/>
  <c r="O22" i="73"/>
  <c r="O74" i="73" s="1"/>
  <c r="E19" i="76"/>
  <c r="V58" i="87"/>
  <c r="I13" i="87"/>
  <c r="X57" i="87"/>
  <c r="Z57" i="87" s="1"/>
  <c r="K34" i="80"/>
  <c r="J32" i="80" s="1"/>
  <c r="E45" i="80"/>
  <c r="K47" i="80" s="1"/>
  <c r="J45" i="80" s="1"/>
  <c r="O45" i="80" s="1"/>
  <c r="E37" i="78"/>
  <c r="D21" i="85"/>
  <c r="D22" i="85" s="1"/>
  <c r="O72" i="87"/>
  <c r="D10" i="87"/>
  <c r="D14" i="87" s="1"/>
  <c r="D21" i="87" s="1"/>
  <c r="X54" i="87"/>
  <c r="Q63" i="87"/>
  <c r="Q64" i="87" s="1"/>
  <c r="O64" i="87"/>
  <c r="D58" i="87"/>
  <c r="D65" i="87" s="1"/>
  <c r="I54" i="87"/>
  <c r="D10" i="85"/>
  <c r="H10" i="85"/>
  <c r="C45" i="78"/>
  <c r="F22" i="83"/>
  <c r="E19" i="82"/>
  <c r="K22" i="82"/>
  <c r="J20" i="82" s="1"/>
  <c r="J13" i="82"/>
  <c r="P28" i="80"/>
  <c r="C28" i="83"/>
  <c r="E24" i="79"/>
  <c r="C30" i="79"/>
  <c r="F8" i="76"/>
  <c r="J7" i="76" s="1"/>
  <c r="R64" i="73"/>
  <c r="R73" i="73"/>
  <c r="R47" i="73"/>
  <c r="R33" i="73"/>
  <c r="R65" i="73"/>
  <c r="R32" i="73"/>
  <c r="R34" i="73"/>
  <c r="R72" i="73"/>
  <c r="R44" i="73"/>
  <c r="R26" i="73"/>
  <c r="R69" i="73"/>
  <c r="R36" i="73"/>
  <c r="R56" i="73"/>
  <c r="R50" i="73"/>
  <c r="R24" i="73"/>
  <c r="J35" i="76" s="1"/>
  <c r="G23" i="73"/>
  <c r="E25" i="73" s="1"/>
  <c r="I23" i="72"/>
  <c r="I25" i="72" s="1"/>
  <c r="J25" i="72"/>
  <c r="I23" i="73"/>
  <c r="I25" i="73" s="1"/>
  <c r="G17" i="73"/>
  <c r="L23" i="73" s="1"/>
  <c r="J25" i="73" s="1"/>
  <c r="J30" i="76" s="1"/>
  <c r="O72" i="72"/>
  <c r="O24" i="72"/>
  <c r="O25" i="72"/>
  <c r="O68" i="72"/>
  <c r="D30" i="73"/>
  <c r="O48" i="73"/>
  <c r="O32" i="73"/>
  <c r="O53" i="73"/>
  <c r="O28" i="73"/>
  <c r="O31" i="73"/>
  <c r="O26" i="73"/>
  <c r="O50" i="73"/>
  <c r="C28" i="72"/>
  <c r="C29" i="72" s="1"/>
  <c r="O50" i="72"/>
  <c r="O64" i="72"/>
  <c r="O37" i="72"/>
  <c r="O62" i="72"/>
  <c r="O55" i="72"/>
  <c r="O26" i="72"/>
  <c r="O56" i="72"/>
  <c r="O48" i="72"/>
  <c r="O38" i="72"/>
  <c r="O42" i="72"/>
  <c r="O52" i="72"/>
  <c r="O59" i="72"/>
  <c r="O36" i="72"/>
  <c r="O29" i="72"/>
  <c r="O51" i="72"/>
  <c r="C30" i="71"/>
  <c r="M21" i="70"/>
  <c r="T223" i="63"/>
  <c r="T248" i="63"/>
  <c r="D19" i="68"/>
  <c r="E18" i="67"/>
  <c r="F18" i="67" s="1"/>
  <c r="H174" i="63"/>
  <c r="O27" i="73" l="1"/>
  <c r="O37" i="73"/>
  <c r="O34" i="73"/>
  <c r="O33" i="73"/>
  <c r="O62" i="73"/>
  <c r="O45" i="73"/>
  <c r="O39" i="73"/>
  <c r="O61" i="73"/>
  <c r="O36" i="73"/>
  <c r="O54" i="73"/>
  <c r="O44" i="73"/>
  <c r="O49" i="73"/>
  <c r="D28" i="71"/>
  <c r="G28" i="71"/>
  <c r="J26" i="74"/>
  <c r="K27" i="74" s="1"/>
  <c r="P29" i="74" s="1"/>
  <c r="O60" i="72"/>
  <c r="O46" i="72"/>
  <c r="O43" i="72"/>
  <c r="O30" i="72"/>
  <c r="O45" i="72"/>
  <c r="O70" i="72"/>
  <c r="O65" i="72"/>
  <c r="O32" i="72"/>
  <c r="O49" i="72"/>
  <c r="O39" i="72"/>
  <c r="O53" i="72"/>
  <c r="O69" i="72"/>
  <c r="O28" i="72"/>
  <c r="O33" i="72"/>
  <c r="O40" i="72"/>
  <c r="O47" i="72"/>
  <c r="O61" i="72"/>
  <c r="O67" i="72"/>
  <c r="O71" i="72"/>
  <c r="O41" i="72"/>
  <c r="O44" i="72"/>
  <c r="O63" i="72"/>
  <c r="O27" i="72"/>
  <c r="O58" i="72"/>
  <c r="O66" i="72"/>
  <c r="O35" i="72"/>
  <c r="O54" i="72"/>
  <c r="O34" i="72"/>
  <c r="O57" i="72"/>
  <c r="O31" i="72"/>
  <c r="O73" i="72"/>
  <c r="O56" i="73"/>
  <c r="R51" i="73"/>
  <c r="R48" i="73"/>
  <c r="O52" i="73"/>
  <c r="O25" i="73"/>
  <c r="K74" i="76" s="1"/>
  <c r="P74" i="76" s="1"/>
  <c r="R35" i="73"/>
  <c r="R43" i="73"/>
  <c r="R25" i="73"/>
  <c r="J67" i="76" s="1"/>
  <c r="K68" i="76" s="1"/>
  <c r="P68" i="76" s="1"/>
  <c r="R53" i="73"/>
  <c r="R46" i="73"/>
  <c r="R38" i="73"/>
  <c r="R55" i="73"/>
  <c r="O40" i="73"/>
  <c r="R45" i="73"/>
  <c r="R49" i="73"/>
  <c r="R68" i="73"/>
  <c r="R61" i="73"/>
  <c r="R70" i="73"/>
  <c r="R71" i="73"/>
  <c r="R54" i="73"/>
  <c r="R59" i="73"/>
  <c r="J73" i="76"/>
  <c r="O73" i="76" s="1"/>
  <c r="O41" i="73"/>
  <c r="F20" i="76"/>
  <c r="J20" i="76" s="1"/>
  <c r="K21" i="76" s="1"/>
  <c r="P20" i="76" s="1"/>
  <c r="K22" i="76"/>
  <c r="J19" i="76" s="1"/>
  <c r="O19" i="76" s="1"/>
  <c r="O42" i="73"/>
  <c r="O69" i="73"/>
  <c r="O57" i="73"/>
  <c r="F25" i="73"/>
  <c r="E49" i="76"/>
  <c r="J25" i="76"/>
  <c r="K36" i="76"/>
  <c r="P36" i="76" s="1"/>
  <c r="O35" i="76"/>
  <c r="O60" i="73"/>
  <c r="O70" i="73"/>
  <c r="O58" i="73"/>
  <c r="O43" i="73"/>
  <c r="O68" i="73"/>
  <c r="O47" i="73"/>
  <c r="O72" i="73"/>
  <c r="O65" i="73"/>
  <c r="R62" i="73"/>
  <c r="R31" i="73"/>
  <c r="R39" i="73"/>
  <c r="R60" i="73"/>
  <c r="R58" i="73"/>
  <c r="R52" i="73"/>
  <c r="R37" i="73"/>
  <c r="R41" i="73"/>
  <c r="R27" i="73"/>
  <c r="R29" i="73"/>
  <c r="R57" i="73"/>
  <c r="R28" i="73"/>
  <c r="R63" i="73"/>
  <c r="I26" i="73"/>
  <c r="I27" i="73" s="1"/>
  <c r="I28" i="73" s="1"/>
  <c r="I29" i="73" s="1"/>
  <c r="I30" i="73" s="1"/>
  <c r="I31" i="73" s="1"/>
  <c r="F50" i="76"/>
  <c r="P52" i="76" s="1"/>
  <c r="O64" i="73"/>
  <c r="O35" i="73"/>
  <c r="O46" i="73"/>
  <c r="O59" i="73"/>
  <c r="O51" i="73"/>
  <c r="O55" i="73"/>
  <c r="O63" i="73"/>
  <c r="O73" i="73"/>
  <c r="R30" i="73"/>
  <c r="O66" i="73"/>
  <c r="O30" i="73"/>
  <c r="O38" i="73"/>
  <c r="O67" i="73"/>
  <c r="O29" i="73"/>
  <c r="O24" i="73"/>
  <c r="K42" i="76" s="1"/>
  <c r="O71" i="73"/>
  <c r="R40" i="73"/>
  <c r="R42" i="73"/>
  <c r="R66" i="73"/>
  <c r="R74" i="73"/>
  <c r="F37" i="78"/>
  <c r="D38" i="78" s="1"/>
  <c r="E44" i="80"/>
  <c r="O32" i="80"/>
  <c r="K13" i="87"/>
  <c r="I14" i="87"/>
  <c r="T63" i="87"/>
  <c r="T64" i="87" s="1"/>
  <c r="I58" i="87"/>
  <c r="I65" i="87" s="1"/>
  <c r="M54" i="87"/>
  <c r="F10" i="87"/>
  <c r="H14" i="85"/>
  <c r="H15" i="85" s="1"/>
  <c r="D32" i="85"/>
  <c r="C46" i="78"/>
  <c r="D23" i="83"/>
  <c r="O13" i="82"/>
  <c r="O20" i="82"/>
  <c r="K21" i="82"/>
  <c r="C29" i="83"/>
  <c r="F24" i="79"/>
  <c r="D25" i="79" s="1"/>
  <c r="F27" i="80"/>
  <c r="C31" i="79"/>
  <c r="I26" i="72"/>
  <c r="I27" i="72" s="1"/>
  <c r="I28" i="72" s="1"/>
  <c r="I29" i="72" s="1"/>
  <c r="I30" i="72" s="1"/>
  <c r="I31" i="72" s="1"/>
  <c r="I32" i="72" s="1"/>
  <c r="I33" i="72" s="1"/>
  <c r="E47" i="74"/>
  <c r="K48" i="74"/>
  <c r="P49" i="74" s="1"/>
  <c r="J34" i="74"/>
  <c r="E66" i="74"/>
  <c r="E26" i="74"/>
  <c r="O26" i="74" s="1"/>
  <c r="F25" i="72"/>
  <c r="D26" i="72" s="1"/>
  <c r="F48" i="74"/>
  <c r="P51" i="74" s="1"/>
  <c r="F50" i="74"/>
  <c r="K25" i="73"/>
  <c r="K25" i="72"/>
  <c r="D31" i="73"/>
  <c r="C30" i="72"/>
  <c r="C31" i="71"/>
  <c r="F20" i="67"/>
  <c r="R200" i="63"/>
  <c r="S199" i="63"/>
  <c r="R198" i="63"/>
  <c r="R213" i="63"/>
  <c r="R212" i="63"/>
  <c r="S211" i="63"/>
  <c r="S210" i="63"/>
  <c r="R208" i="63"/>
  <c r="S192" i="63"/>
  <c r="R189" i="63"/>
  <c r="R169" i="63"/>
  <c r="N169" i="63"/>
  <c r="S168" i="63"/>
  <c r="N168" i="63"/>
  <c r="R167" i="63"/>
  <c r="R166" i="63"/>
  <c r="R142" i="63"/>
  <c r="S141" i="63"/>
  <c r="R140" i="63"/>
  <c r="R154" i="63"/>
  <c r="R153" i="63"/>
  <c r="S152" i="63"/>
  <c r="S151" i="63"/>
  <c r="R150" i="63"/>
  <c r="R137" i="63"/>
  <c r="R136" i="63"/>
  <c r="S135" i="63"/>
  <c r="R134" i="63"/>
  <c r="R131" i="63"/>
  <c r="N131" i="63"/>
  <c r="S130" i="63"/>
  <c r="N130" i="63"/>
  <c r="R129" i="63"/>
  <c r="R128" i="63"/>
  <c r="R104" i="63"/>
  <c r="S105" i="63"/>
  <c r="R106" i="63"/>
  <c r="R98" i="63"/>
  <c r="S99" i="63"/>
  <c r="R100" i="63"/>
  <c r="R101" i="63"/>
  <c r="K30" i="67"/>
  <c r="R85" i="63"/>
  <c r="R86" i="63"/>
  <c r="R87" i="63"/>
  <c r="S88" i="63"/>
  <c r="R89" i="63"/>
  <c r="M61" i="68"/>
  <c r="B6" i="68" l="1"/>
  <c r="B9" i="68" s="1"/>
  <c r="F19" i="68" s="1"/>
  <c r="B6" i="69"/>
  <c r="C20" i="69"/>
  <c r="C22" i="69" s="1"/>
  <c r="J80" i="74"/>
  <c r="O80" i="74" s="1"/>
  <c r="H28" i="71"/>
  <c r="K81" i="74"/>
  <c r="E28" i="71"/>
  <c r="F28" i="71" s="1"/>
  <c r="O67" i="76"/>
  <c r="O27" i="74"/>
  <c r="O18" i="72"/>
  <c r="R18" i="73"/>
  <c r="L25" i="73"/>
  <c r="J26" i="73" s="1"/>
  <c r="E48" i="76"/>
  <c r="K52" i="76" s="1"/>
  <c r="J48" i="76" s="1"/>
  <c r="O48" i="76" s="1"/>
  <c r="K26" i="76"/>
  <c r="O25" i="76"/>
  <c r="P42" i="76"/>
  <c r="J41" i="76"/>
  <c r="O41" i="76" s="1"/>
  <c r="G25" i="73"/>
  <c r="E26" i="73" s="1"/>
  <c r="E47" i="76"/>
  <c r="K51" i="76" s="1"/>
  <c r="J47" i="76" s="1"/>
  <c r="O47" i="76" s="1"/>
  <c r="O18" i="73"/>
  <c r="K46" i="80"/>
  <c r="E57" i="80"/>
  <c r="E38" i="78"/>
  <c r="X63" i="87"/>
  <c r="X64" i="87" s="1"/>
  <c r="Z64" i="87" s="1"/>
  <c r="T72" i="87"/>
  <c r="F14" i="87"/>
  <c r="F21" i="87" s="1"/>
  <c r="K10" i="87"/>
  <c r="K14" i="87" s="1"/>
  <c r="Z54" i="87"/>
  <c r="M58" i="87"/>
  <c r="M65" i="87" s="1"/>
  <c r="C47" i="78"/>
  <c r="E23" i="83"/>
  <c r="E26" i="82"/>
  <c r="J19" i="82"/>
  <c r="C30" i="83"/>
  <c r="E25" i="79"/>
  <c r="F40" i="80"/>
  <c r="P27" i="80"/>
  <c r="C32" i="79"/>
  <c r="F27" i="74"/>
  <c r="P28" i="74" s="1"/>
  <c r="K35" i="74"/>
  <c r="P35" i="74" s="1"/>
  <c r="K49" i="74"/>
  <c r="O34" i="74"/>
  <c r="E26" i="72"/>
  <c r="J66" i="74"/>
  <c r="L25" i="72"/>
  <c r="J26" i="72" s="1"/>
  <c r="F49" i="74"/>
  <c r="P52" i="74" s="1"/>
  <c r="O30" i="76"/>
  <c r="K31" i="76"/>
  <c r="F67" i="74"/>
  <c r="P68" i="74" s="1"/>
  <c r="O66" i="74"/>
  <c r="O47" i="74"/>
  <c r="D32" i="73"/>
  <c r="I32" i="73"/>
  <c r="I34" i="72"/>
  <c r="C31" i="72"/>
  <c r="C32" i="71"/>
  <c r="C19" i="68"/>
  <c r="C21" i="68" s="1"/>
  <c r="C22" i="68" s="1"/>
  <c r="C23" i="68" s="1"/>
  <c r="C24" i="68" s="1"/>
  <c r="R80" i="63"/>
  <c r="S81" i="63"/>
  <c r="R82" i="63"/>
  <c r="R69" i="63"/>
  <c r="S67" i="63"/>
  <c r="N67" i="63"/>
  <c r="R66" i="63"/>
  <c r="R118" i="63"/>
  <c r="R117" i="63"/>
  <c r="S116" i="63"/>
  <c r="S115" i="63"/>
  <c r="R114" i="63"/>
  <c r="R95" i="63"/>
  <c r="N95" i="63"/>
  <c r="S94" i="63"/>
  <c r="N94" i="63"/>
  <c r="R93" i="63"/>
  <c r="R92" i="63"/>
  <c r="R31" i="63"/>
  <c r="R44" i="63"/>
  <c r="S42" i="63"/>
  <c r="N42" i="63"/>
  <c r="R41" i="63"/>
  <c r="R75" i="63"/>
  <c r="R76" i="63"/>
  <c r="R50" i="63"/>
  <c r="R51" i="63"/>
  <c r="S74" i="63"/>
  <c r="S73" i="63"/>
  <c r="R72" i="63"/>
  <c r="R57" i="63"/>
  <c r="S56" i="63"/>
  <c r="R55" i="63"/>
  <c r="R63" i="63"/>
  <c r="N63" i="63"/>
  <c r="S62" i="63"/>
  <c r="N62" i="63"/>
  <c r="R61" i="63"/>
  <c r="R60" i="63"/>
  <c r="S49" i="63"/>
  <c r="S48" i="63"/>
  <c r="R47" i="63"/>
  <c r="R37" i="63"/>
  <c r="R12" i="63"/>
  <c r="R11" i="63"/>
  <c r="S23" i="63"/>
  <c r="R25" i="63"/>
  <c r="R29" i="63"/>
  <c r="S30" i="63"/>
  <c r="B20" i="68"/>
  <c r="B21" i="68"/>
  <c r="B22" i="68"/>
  <c r="M21" i="68" s="1"/>
  <c r="P21" i="68" s="1"/>
  <c r="S21" i="68" s="1"/>
  <c r="B23" i="68"/>
  <c r="M22" i="68" s="1"/>
  <c r="P22" i="68" s="1"/>
  <c r="S22" i="68" s="1"/>
  <c r="B24" i="68"/>
  <c r="M23" i="68" s="1"/>
  <c r="P23" i="68" s="1"/>
  <c r="S23" i="68" s="1"/>
  <c r="B25" i="68"/>
  <c r="M24" i="68" s="1"/>
  <c r="P24" i="68" s="1"/>
  <c r="S24" i="68" s="1"/>
  <c r="B26" i="68"/>
  <c r="M25" i="68" s="1"/>
  <c r="P25" i="68" s="1"/>
  <c r="S25" i="68" s="1"/>
  <c r="B27" i="68"/>
  <c r="M26" i="68" s="1"/>
  <c r="P26" i="68" s="1"/>
  <c r="S26" i="68" s="1"/>
  <c r="B28" i="68"/>
  <c r="M27" i="68" s="1"/>
  <c r="P27" i="68" s="1"/>
  <c r="S27" i="68" s="1"/>
  <c r="B29" i="68"/>
  <c r="M28" i="68" s="1"/>
  <c r="P28" i="68" s="1"/>
  <c r="S28" i="68" s="1"/>
  <c r="B30" i="68"/>
  <c r="M29" i="68" s="1"/>
  <c r="P29" i="68" s="1"/>
  <c r="S29" i="68" s="1"/>
  <c r="B31" i="68"/>
  <c r="M30" i="68" s="1"/>
  <c r="P30" i="68" s="1"/>
  <c r="S30" i="68" s="1"/>
  <c r="B32" i="68"/>
  <c r="M31" i="68" s="1"/>
  <c r="P31" i="68" s="1"/>
  <c r="S31" i="68" s="1"/>
  <c r="B33" i="68"/>
  <c r="M32" i="68" s="1"/>
  <c r="P32" i="68" s="1"/>
  <c r="S32" i="68" s="1"/>
  <c r="B34" i="68"/>
  <c r="M33" i="68" s="1"/>
  <c r="P33" i="68" s="1"/>
  <c r="S33" i="68" s="1"/>
  <c r="B35" i="68"/>
  <c r="M34" i="68" s="1"/>
  <c r="P34" i="68" s="1"/>
  <c r="S34" i="68" s="1"/>
  <c r="B36" i="68"/>
  <c r="M35" i="68" s="1"/>
  <c r="P35" i="68" s="1"/>
  <c r="S35" i="68" s="1"/>
  <c r="B37" i="68"/>
  <c r="M36" i="68" s="1"/>
  <c r="P36" i="68" s="1"/>
  <c r="S36" i="68" s="1"/>
  <c r="B38" i="68"/>
  <c r="M37" i="68" s="1"/>
  <c r="P37" i="68" s="1"/>
  <c r="S37" i="68" s="1"/>
  <c r="B39" i="68"/>
  <c r="M38" i="68" s="1"/>
  <c r="P38" i="68" s="1"/>
  <c r="S38" i="68" s="1"/>
  <c r="B40" i="68"/>
  <c r="M39" i="68" s="1"/>
  <c r="P39" i="68" s="1"/>
  <c r="S39" i="68" s="1"/>
  <c r="B41" i="68"/>
  <c r="M40" i="68" s="1"/>
  <c r="P40" i="68" s="1"/>
  <c r="S40" i="68" s="1"/>
  <c r="B42" i="68"/>
  <c r="M41" i="68" s="1"/>
  <c r="P41" i="68" s="1"/>
  <c r="S41" i="68" s="1"/>
  <c r="B43" i="68"/>
  <c r="M42" i="68" s="1"/>
  <c r="P42" i="68" s="1"/>
  <c r="S42" i="68" s="1"/>
  <c r="B44" i="68"/>
  <c r="M43" i="68" s="1"/>
  <c r="P43" i="68" s="1"/>
  <c r="S43" i="68" s="1"/>
  <c r="B45" i="68"/>
  <c r="M44" i="68" s="1"/>
  <c r="P44" i="68" s="1"/>
  <c r="S44" i="68" s="1"/>
  <c r="B46" i="68"/>
  <c r="M45" i="68" s="1"/>
  <c r="P45" i="68" s="1"/>
  <c r="S45" i="68" s="1"/>
  <c r="B47" i="68"/>
  <c r="M46" i="68" s="1"/>
  <c r="P46" i="68" s="1"/>
  <c r="S46" i="68" s="1"/>
  <c r="B48" i="68"/>
  <c r="M47" i="68" s="1"/>
  <c r="P47" i="68" s="1"/>
  <c r="S47" i="68" s="1"/>
  <c r="B49" i="68"/>
  <c r="M48" i="68" s="1"/>
  <c r="P48" i="68" s="1"/>
  <c r="S48" i="68" s="1"/>
  <c r="B50" i="68"/>
  <c r="M49" i="68" s="1"/>
  <c r="P49" i="68" s="1"/>
  <c r="S49" i="68" s="1"/>
  <c r="B51" i="68"/>
  <c r="M50" i="68" s="1"/>
  <c r="P50" i="68" s="1"/>
  <c r="S50" i="68" s="1"/>
  <c r="B52" i="68"/>
  <c r="M51" i="68" s="1"/>
  <c r="P51" i="68" s="1"/>
  <c r="S51" i="68" s="1"/>
  <c r="B53" i="68"/>
  <c r="M52" i="68" s="1"/>
  <c r="P52" i="68" s="1"/>
  <c r="S52" i="68" s="1"/>
  <c r="B54" i="68"/>
  <c r="M53" i="68" s="1"/>
  <c r="P53" i="68" s="1"/>
  <c r="S53" i="68" s="1"/>
  <c r="B55" i="68"/>
  <c r="M54" i="68" s="1"/>
  <c r="P54" i="68" s="1"/>
  <c r="S54" i="68" s="1"/>
  <c r="B56" i="68"/>
  <c r="M55" i="68" s="1"/>
  <c r="P55" i="68" s="1"/>
  <c r="S55" i="68" s="1"/>
  <c r="B57" i="68"/>
  <c r="M56" i="68" s="1"/>
  <c r="P56" i="68" s="1"/>
  <c r="S56" i="68" s="1"/>
  <c r="B58" i="68"/>
  <c r="M57" i="68" s="1"/>
  <c r="P57" i="68" s="1"/>
  <c r="S57" i="68" s="1"/>
  <c r="B59" i="68"/>
  <c r="M58" i="68" s="1"/>
  <c r="P58" i="68" s="1"/>
  <c r="S58" i="68" s="1"/>
  <c r="B60" i="68"/>
  <c r="M59" i="68" s="1"/>
  <c r="P59" i="68" s="1"/>
  <c r="S59" i="68" s="1"/>
  <c r="S36" i="63"/>
  <c r="R35" i="63"/>
  <c r="R34" i="63"/>
  <c r="N37" i="63"/>
  <c r="N36" i="63"/>
  <c r="C23" i="69" l="1"/>
  <c r="E22" i="69"/>
  <c r="E15" i="70" s="1"/>
  <c r="B9" i="69"/>
  <c r="M7" i="69"/>
  <c r="D29" i="71"/>
  <c r="E29" i="71" s="1"/>
  <c r="F29" i="71" s="1"/>
  <c r="G29" i="71"/>
  <c r="H29" i="71" s="1"/>
  <c r="P81" i="74"/>
  <c r="J79" i="74"/>
  <c r="O79" i="74" s="1"/>
  <c r="F26" i="72"/>
  <c r="D27" i="72" s="1"/>
  <c r="E27" i="72" s="1"/>
  <c r="F26" i="73"/>
  <c r="G26" i="73" s="1"/>
  <c r="E27" i="73" s="1"/>
  <c r="F27" i="73" s="1"/>
  <c r="G27" i="73" s="1"/>
  <c r="E28" i="73" s="1"/>
  <c r="F28" i="73" s="1"/>
  <c r="G28" i="73" s="1"/>
  <c r="J57" i="76"/>
  <c r="P26" i="76"/>
  <c r="J49" i="76"/>
  <c r="O49" i="76" s="1"/>
  <c r="K26" i="73"/>
  <c r="L26" i="73" s="1"/>
  <c r="J27" i="73" s="1"/>
  <c r="K27" i="73" s="1"/>
  <c r="L27" i="73" s="1"/>
  <c r="J28" i="73" s="1"/>
  <c r="K28" i="73" s="1"/>
  <c r="L28" i="73" s="1"/>
  <c r="J29" i="73" s="1"/>
  <c r="K29" i="73" s="1"/>
  <c r="L29" i="73" s="1"/>
  <c r="J30" i="73" s="1"/>
  <c r="K30" i="73" s="1"/>
  <c r="L30" i="73" s="1"/>
  <c r="J62" i="76"/>
  <c r="C25" i="68"/>
  <c r="C26" i="68" s="1"/>
  <c r="C27" i="68" s="1"/>
  <c r="C28" i="68" s="1"/>
  <c r="C29" i="68" s="1"/>
  <c r="C30" i="68" s="1"/>
  <c r="J160" i="63" s="1"/>
  <c r="J122" i="63"/>
  <c r="T122" i="63" s="1"/>
  <c r="F38" i="78"/>
  <c r="D39" i="78" s="1"/>
  <c r="E56" i="80"/>
  <c r="K59" i="80"/>
  <c r="J57" i="80" s="1"/>
  <c r="O57" i="80" s="1"/>
  <c r="J44" i="80"/>
  <c r="Z63" i="87"/>
  <c r="X72" i="87"/>
  <c r="D29" i="87"/>
  <c r="C48" i="78"/>
  <c r="O19" i="82"/>
  <c r="K28" i="82"/>
  <c r="J26" i="82" s="1"/>
  <c r="E25" i="82"/>
  <c r="F23" i="83"/>
  <c r="D24" i="83" s="1"/>
  <c r="P40" i="80"/>
  <c r="C31" i="83"/>
  <c r="F25" i="79"/>
  <c r="D26" i="79" s="1"/>
  <c r="F39" i="80"/>
  <c r="C33" i="79"/>
  <c r="P31" i="76"/>
  <c r="J50" i="76"/>
  <c r="K67" i="74"/>
  <c r="P69" i="74" s="1"/>
  <c r="O67" i="74"/>
  <c r="K26" i="72"/>
  <c r="L26" i="72" s="1"/>
  <c r="J27" i="72" s="1"/>
  <c r="K27" i="72" s="1"/>
  <c r="L27" i="72" s="1"/>
  <c r="J28" i="72" s="1"/>
  <c r="K28" i="72" s="1"/>
  <c r="L28" i="72" s="1"/>
  <c r="J29" i="72" s="1"/>
  <c r="K29" i="72" s="1"/>
  <c r="L29" i="72" s="1"/>
  <c r="J30" i="72" s="1"/>
  <c r="K30" i="72" s="1"/>
  <c r="L30" i="72" s="1"/>
  <c r="J31" i="72" s="1"/>
  <c r="K31" i="72" s="1"/>
  <c r="L31" i="72" s="1"/>
  <c r="J32" i="72" s="1"/>
  <c r="K32" i="72" s="1"/>
  <c r="L32" i="72" s="1"/>
  <c r="J33" i="72" s="1"/>
  <c r="K33" i="72" s="1"/>
  <c r="L33" i="72" s="1"/>
  <c r="J74" i="74"/>
  <c r="P50" i="74"/>
  <c r="J47" i="74"/>
  <c r="E85" i="74"/>
  <c r="E76" i="76"/>
  <c r="D33" i="73"/>
  <c r="I33" i="73"/>
  <c r="I35" i="72"/>
  <c r="C32" i="72"/>
  <c r="C33" i="71"/>
  <c r="R21" i="63"/>
  <c r="S22" i="63"/>
  <c r="R24" i="63"/>
  <c r="R18" i="63"/>
  <c r="R17" i="63"/>
  <c r="S16" i="63"/>
  <c r="R15" i="63"/>
  <c r="N16" i="63"/>
  <c r="E15" i="63"/>
  <c r="S10" i="63"/>
  <c r="R9" i="63"/>
  <c r="R7" i="63"/>
  <c r="M8" i="63"/>
  <c r="N9" i="63"/>
  <c r="E8" i="63"/>
  <c r="T8" i="63" s="1"/>
  <c r="E9" i="63"/>
  <c r="P9" i="63" s="1"/>
  <c r="O7" i="63" s="1"/>
  <c r="T9" i="63" s="1"/>
  <c r="F10" i="63"/>
  <c r="O8" i="63" s="1"/>
  <c r="E7" i="63"/>
  <c r="P10" i="63"/>
  <c r="U10" i="63" s="1"/>
  <c r="D5" i="67"/>
  <c r="H30" i="67"/>
  <c r="E23" i="69" l="1"/>
  <c r="E21" i="70" s="1"/>
  <c r="F29" i="70" s="1"/>
  <c r="P29" i="70" s="1"/>
  <c r="C24" i="69"/>
  <c r="F20" i="69"/>
  <c r="F28" i="70" s="1"/>
  <c r="J28" i="70" s="1"/>
  <c r="K30" i="70" s="1"/>
  <c r="P28" i="70" s="1"/>
  <c r="M6" i="69"/>
  <c r="M8" i="69" s="1"/>
  <c r="F24" i="69"/>
  <c r="F16" i="70"/>
  <c r="P16" i="70" s="1"/>
  <c r="O15" i="70"/>
  <c r="D30" i="71"/>
  <c r="E30" i="71" s="1"/>
  <c r="F30" i="71" s="1"/>
  <c r="G30" i="71"/>
  <c r="H30" i="71" s="1"/>
  <c r="F27" i="72"/>
  <c r="D28" i="72" s="1"/>
  <c r="E28" i="72" s="1"/>
  <c r="O62" i="76"/>
  <c r="K63" i="76"/>
  <c r="P63" i="76" s="1"/>
  <c r="O57" i="76"/>
  <c r="K58" i="76"/>
  <c r="P58" i="76" s="1"/>
  <c r="C31" i="68"/>
  <c r="C32" i="68" s="1"/>
  <c r="C33" i="68" s="1"/>
  <c r="C34" i="68" s="1"/>
  <c r="C35" i="68" s="1"/>
  <c r="C36" i="68" s="1"/>
  <c r="C37" i="68" s="1"/>
  <c r="C38" i="68" s="1"/>
  <c r="C39" i="68" s="1"/>
  <c r="C40" i="68" s="1"/>
  <c r="C41" i="68" s="1"/>
  <c r="C42" i="68" s="1"/>
  <c r="C43" i="68" s="1"/>
  <c r="C44" i="68" s="1"/>
  <c r="C45" i="68" s="1"/>
  <c r="C46" i="68" s="1"/>
  <c r="C47" i="68" s="1"/>
  <c r="C48" i="68" s="1"/>
  <c r="C49" i="68" s="1"/>
  <c r="C50" i="68" s="1"/>
  <c r="C51" i="68" s="1"/>
  <c r="C52" i="68" s="1"/>
  <c r="C53" i="68" s="1"/>
  <c r="C54" i="68" s="1"/>
  <c r="C55" i="68" s="1"/>
  <c r="C56" i="68" s="1"/>
  <c r="C57" i="68" s="1"/>
  <c r="C58" i="68" s="1"/>
  <c r="C59" i="68" s="1"/>
  <c r="C60" i="68" s="1"/>
  <c r="T160" i="63"/>
  <c r="E69" i="80"/>
  <c r="E39" i="78"/>
  <c r="O44" i="80"/>
  <c r="K58" i="80"/>
  <c r="Z72" i="87"/>
  <c r="D31" i="87"/>
  <c r="K29" i="87"/>
  <c r="K31" i="87" s="1"/>
  <c r="C49" i="78"/>
  <c r="E24" i="83"/>
  <c r="E32" i="82"/>
  <c r="K27" i="82"/>
  <c r="O26" i="82"/>
  <c r="C32" i="83"/>
  <c r="E26" i="79"/>
  <c r="F52" i="80"/>
  <c r="P39" i="80"/>
  <c r="C34" i="79"/>
  <c r="O50" i="76"/>
  <c r="K53" i="76"/>
  <c r="O51" i="76" s="1"/>
  <c r="K75" i="74"/>
  <c r="P75" i="74" s="1"/>
  <c r="O74" i="74"/>
  <c r="P48" i="74"/>
  <c r="J31" i="73"/>
  <c r="K31" i="73" s="1"/>
  <c r="L31" i="73" s="1"/>
  <c r="D34" i="73"/>
  <c r="I34" i="73"/>
  <c r="E29" i="73"/>
  <c r="F29" i="73" s="1"/>
  <c r="G29" i="73" s="1"/>
  <c r="J34" i="72"/>
  <c r="K34" i="72" s="1"/>
  <c r="L34" i="72" s="1"/>
  <c r="I36" i="72"/>
  <c r="C33" i="72"/>
  <c r="C34" i="71"/>
  <c r="P16" i="63"/>
  <c r="O15" i="63" s="1"/>
  <c r="T15" i="63" s="1"/>
  <c r="E41" i="63"/>
  <c r="E66" i="63" s="1"/>
  <c r="T7" i="63"/>
  <c r="F16" i="63"/>
  <c r="U16" i="63" s="1"/>
  <c r="D25" i="69" l="1"/>
  <c r="E27" i="70"/>
  <c r="K29" i="70" s="1"/>
  <c r="J27" i="70" s="1"/>
  <c r="O27" i="70" s="1"/>
  <c r="N19" i="69"/>
  <c r="E24" i="69"/>
  <c r="F30" i="70" s="1"/>
  <c r="P30" i="70" s="1"/>
  <c r="C25" i="69"/>
  <c r="F22" i="70"/>
  <c r="P22" i="70" s="1"/>
  <c r="O21" i="70"/>
  <c r="D31" i="71"/>
  <c r="E31" i="71" s="1"/>
  <c r="F31" i="71" s="1"/>
  <c r="G31" i="71"/>
  <c r="H31" i="71" s="1"/>
  <c r="F28" i="72"/>
  <c r="D29" i="72" s="1"/>
  <c r="E29" i="72" s="1"/>
  <c r="J85" i="74"/>
  <c r="K71" i="80"/>
  <c r="J69" i="80" s="1"/>
  <c r="O69" i="80" s="1"/>
  <c r="J56" i="80"/>
  <c r="F39" i="78"/>
  <c r="D40" i="78" s="1"/>
  <c r="E40" i="78" s="1"/>
  <c r="F40" i="78" s="1"/>
  <c r="D41" i="78" s="1"/>
  <c r="E41" i="78" s="1"/>
  <c r="F41" i="78" s="1"/>
  <c r="D42" i="78" s="1"/>
  <c r="E42" i="78" s="1"/>
  <c r="F42" i="78" s="1"/>
  <c r="D43" i="78" s="1"/>
  <c r="E43" i="78" s="1"/>
  <c r="F43" i="78" s="1"/>
  <c r="D44" i="78" s="1"/>
  <c r="E44" i="78" s="1"/>
  <c r="F44" i="78" s="1"/>
  <c r="D45" i="78" s="1"/>
  <c r="E45" i="78" s="1"/>
  <c r="F45" i="78" s="1"/>
  <c r="D46" i="78" s="1"/>
  <c r="E46" i="78" s="1"/>
  <c r="F46" i="78" s="1"/>
  <c r="D47" i="78" s="1"/>
  <c r="E68" i="80"/>
  <c r="C50" i="78"/>
  <c r="K34" i="82"/>
  <c r="J32" i="82" s="1"/>
  <c r="F24" i="83"/>
  <c r="D25" i="83" s="1"/>
  <c r="E31" i="82"/>
  <c r="J25" i="82"/>
  <c r="P52" i="80"/>
  <c r="C33" i="83"/>
  <c r="F26" i="79"/>
  <c r="D27" i="79" s="1"/>
  <c r="F51" i="80"/>
  <c r="C35" i="79"/>
  <c r="O76" i="76"/>
  <c r="J76" i="76"/>
  <c r="O85" i="74"/>
  <c r="E30" i="73"/>
  <c r="F30" i="73" s="1"/>
  <c r="G30" i="73" s="1"/>
  <c r="I35" i="73"/>
  <c r="D35" i="73"/>
  <c r="J32" i="73"/>
  <c r="K32" i="73" s="1"/>
  <c r="L32" i="73" s="1"/>
  <c r="J35" i="72"/>
  <c r="K35" i="72" s="1"/>
  <c r="L35" i="72" s="1"/>
  <c r="I37" i="72"/>
  <c r="C34" i="72"/>
  <c r="C35" i="71"/>
  <c r="P67" i="63"/>
  <c r="F67" i="63"/>
  <c r="U67" i="63" s="1"/>
  <c r="P42" i="63"/>
  <c r="O41" i="63" s="1"/>
  <c r="T41" i="63" s="1"/>
  <c r="F42" i="63"/>
  <c r="U42" i="63" s="1"/>
  <c r="H8" i="68"/>
  <c r="I19" i="68"/>
  <c r="T18" i="68"/>
  <c r="M7" i="68"/>
  <c r="E16" i="67"/>
  <c r="C32" i="67"/>
  <c r="J42" i="67"/>
  <c r="E49" i="70" l="1"/>
  <c r="K51" i="70" s="1"/>
  <c r="J49" i="70" s="1"/>
  <c r="O49" i="70" s="1"/>
  <c r="J40" i="70"/>
  <c r="F50" i="70"/>
  <c r="P50" i="70" s="1"/>
  <c r="C26" i="69"/>
  <c r="C27" i="69" s="1"/>
  <c r="C28" i="69" s="1"/>
  <c r="C29" i="69" s="1"/>
  <c r="C30" i="69" s="1"/>
  <c r="E25" i="69"/>
  <c r="N43" i="69"/>
  <c r="N56" i="69"/>
  <c r="N34" i="69"/>
  <c r="N42" i="69"/>
  <c r="N60" i="69"/>
  <c r="N35" i="69"/>
  <c r="N55" i="69"/>
  <c r="N32" i="69"/>
  <c r="K105" i="70" s="1"/>
  <c r="N37" i="69"/>
  <c r="N26" i="69"/>
  <c r="N36" i="69"/>
  <c r="N63" i="69"/>
  <c r="N29" i="69"/>
  <c r="N47" i="69"/>
  <c r="N33" i="69"/>
  <c r="N52" i="69"/>
  <c r="N58" i="69"/>
  <c r="N25" i="69"/>
  <c r="J54" i="70" s="1"/>
  <c r="N39" i="69"/>
  <c r="N28" i="69"/>
  <c r="N30" i="69"/>
  <c r="N46" i="69"/>
  <c r="N50" i="69"/>
  <c r="N61" i="69"/>
  <c r="N31" i="69"/>
  <c r="J80" i="70" s="1"/>
  <c r="N41" i="69"/>
  <c r="N45" i="69"/>
  <c r="N49" i="69"/>
  <c r="N62" i="69"/>
  <c r="N54" i="69"/>
  <c r="N27" i="69"/>
  <c r="N53" i="69"/>
  <c r="N44" i="69"/>
  <c r="N59" i="69"/>
  <c r="N48" i="69"/>
  <c r="N51" i="69"/>
  <c r="N38" i="69"/>
  <c r="N57" i="69"/>
  <c r="N24" i="69"/>
  <c r="J35" i="70" s="1"/>
  <c r="N40" i="69"/>
  <c r="G32" i="71"/>
  <c r="H32" i="71" s="1"/>
  <c r="D32" i="71"/>
  <c r="E32" i="71" s="1"/>
  <c r="F32" i="71" s="1"/>
  <c r="E255" i="63"/>
  <c r="F29" i="72"/>
  <c r="D30" i="72" s="1"/>
  <c r="E30" i="72" s="1"/>
  <c r="O76" i="87"/>
  <c r="K70" i="80"/>
  <c r="O56" i="80"/>
  <c r="E47" i="78"/>
  <c r="F47" i="78" s="1"/>
  <c r="D48" i="78" s="1"/>
  <c r="C51" i="78"/>
  <c r="O25" i="82"/>
  <c r="K33" i="82"/>
  <c r="E25" i="83"/>
  <c r="E38" i="82"/>
  <c r="O32" i="82"/>
  <c r="C34" i="83"/>
  <c r="E27" i="79"/>
  <c r="F64" i="80"/>
  <c r="P51" i="80"/>
  <c r="C36" i="79"/>
  <c r="J33" i="73"/>
  <c r="K33" i="73" s="1"/>
  <c r="L33" i="73" s="1"/>
  <c r="D36" i="73"/>
  <c r="E31" i="73"/>
  <c r="F31" i="73" s="1"/>
  <c r="G31" i="73" s="1"/>
  <c r="I36" i="73"/>
  <c r="J36" i="72"/>
  <c r="K36" i="72" s="1"/>
  <c r="L36" i="72" s="1"/>
  <c r="I38" i="72"/>
  <c r="C35" i="72"/>
  <c r="C36" i="71"/>
  <c r="C33" i="67"/>
  <c r="K36" i="63"/>
  <c r="U36" i="63" s="1"/>
  <c r="J86" i="63"/>
  <c r="T86" i="63" s="1"/>
  <c r="T26" i="68"/>
  <c r="T34" i="68"/>
  <c r="T42" i="68"/>
  <c r="T50" i="68"/>
  <c r="T58" i="68"/>
  <c r="T66" i="68"/>
  <c r="T61" i="68"/>
  <c r="T41" i="68"/>
  <c r="T27" i="68"/>
  <c r="T35" i="68"/>
  <c r="T43" i="68"/>
  <c r="T51" i="68"/>
  <c r="T59" i="68"/>
  <c r="T67" i="68"/>
  <c r="T45" i="68"/>
  <c r="T63" i="68"/>
  <c r="T32" i="68"/>
  <c r="T49" i="68"/>
  <c r="T28" i="68"/>
  <c r="T36" i="68"/>
  <c r="T44" i="68"/>
  <c r="T52" i="68"/>
  <c r="T60" i="68"/>
  <c r="T68" i="68"/>
  <c r="T69" i="68"/>
  <c r="T55" i="68"/>
  <c r="T24" i="68"/>
  <c r="O140" i="63" s="1"/>
  <c r="T25" i="68"/>
  <c r="T65" i="68"/>
  <c r="T29" i="68"/>
  <c r="T37" i="68"/>
  <c r="T53" i="68"/>
  <c r="T39" i="68"/>
  <c r="T40" i="68"/>
  <c r="T64" i="68"/>
  <c r="T57" i="68"/>
  <c r="T30" i="68"/>
  <c r="O198" i="63" s="1"/>
  <c r="T38" i="68"/>
  <c r="T46" i="68"/>
  <c r="T54" i="68"/>
  <c r="T62" i="68"/>
  <c r="T70" i="68"/>
  <c r="T31" i="68"/>
  <c r="O237" i="63" s="1"/>
  <c r="T47" i="68"/>
  <c r="T71" i="68"/>
  <c r="T48" i="68"/>
  <c r="T72" i="68"/>
  <c r="T23" i="68"/>
  <c r="O104" i="63" s="1"/>
  <c r="T56" i="68"/>
  <c r="T33" i="68"/>
  <c r="O66" i="63"/>
  <c r="T66" i="63" s="1"/>
  <c r="P81" i="63"/>
  <c r="F30" i="67"/>
  <c r="G32" i="67" s="1"/>
  <c r="N17" i="69" l="1"/>
  <c r="K55" i="70"/>
  <c r="P55" i="70" s="1"/>
  <c r="O54" i="70"/>
  <c r="K81" i="70"/>
  <c r="P81" i="70" s="1"/>
  <c r="O80" i="70"/>
  <c r="P105" i="70"/>
  <c r="J104" i="70"/>
  <c r="O104" i="70" s="1"/>
  <c r="E48" i="70"/>
  <c r="K50" i="70" s="1"/>
  <c r="J48" i="70" s="1"/>
  <c r="O48" i="70" s="1"/>
  <c r="F25" i="69"/>
  <c r="K36" i="70"/>
  <c r="P36" i="70" s="1"/>
  <c r="O35" i="70"/>
  <c r="K41" i="70"/>
  <c r="P41" i="70" s="1"/>
  <c r="O40" i="70"/>
  <c r="D33" i="71"/>
  <c r="E33" i="71" s="1"/>
  <c r="F33" i="71" s="1"/>
  <c r="G33" i="71"/>
  <c r="H33" i="71" s="1"/>
  <c r="F30" i="72"/>
  <c r="D31" i="72" s="1"/>
  <c r="E31" i="72" s="1"/>
  <c r="P238" i="63"/>
  <c r="U238" i="63" s="1"/>
  <c r="T237" i="63"/>
  <c r="T76" i="87"/>
  <c r="J68" i="80"/>
  <c r="O77" i="87"/>
  <c r="T77" i="87" s="1"/>
  <c r="D36" i="85"/>
  <c r="D40" i="85" s="1"/>
  <c r="F36" i="85"/>
  <c r="E48" i="78"/>
  <c r="F48" i="78" s="1"/>
  <c r="D49" i="78" s="1"/>
  <c r="C52" i="78"/>
  <c r="J31" i="82"/>
  <c r="K40" i="82"/>
  <c r="J38" i="82" s="1"/>
  <c r="G36" i="85" s="1"/>
  <c r="D76" i="87"/>
  <c r="F25" i="83"/>
  <c r="E37" i="82"/>
  <c r="P64" i="80"/>
  <c r="C35" i="83"/>
  <c r="F27" i="79"/>
  <c r="D28" i="79" s="1"/>
  <c r="F63" i="80"/>
  <c r="C37" i="79"/>
  <c r="E32" i="73"/>
  <c r="F32" i="73" s="1"/>
  <c r="G32" i="73" s="1"/>
  <c r="J34" i="73"/>
  <c r="K34" i="73" s="1"/>
  <c r="L34" i="73" s="1"/>
  <c r="I37" i="73"/>
  <c r="D37" i="73"/>
  <c r="J37" i="72"/>
  <c r="K37" i="72" s="1"/>
  <c r="L37" i="72" s="1"/>
  <c r="I39" i="72"/>
  <c r="C36" i="72"/>
  <c r="C37" i="71"/>
  <c r="C31" i="69"/>
  <c r="H32" i="67"/>
  <c r="P23" i="63"/>
  <c r="U23" i="63" s="1"/>
  <c r="C34" i="67"/>
  <c r="K62" i="63"/>
  <c r="U62" i="63" s="1"/>
  <c r="P105" i="63"/>
  <c r="U105" i="63" s="1"/>
  <c r="T104" i="63"/>
  <c r="P199" i="63"/>
  <c r="U199" i="63" s="1"/>
  <c r="T198" i="63"/>
  <c r="P141" i="63"/>
  <c r="U141" i="63" s="1"/>
  <c r="T140" i="63"/>
  <c r="O80" i="63"/>
  <c r="T80" i="63" s="1"/>
  <c r="U81" i="63"/>
  <c r="F23" i="68"/>
  <c r="T14" i="68"/>
  <c r="D32" i="67"/>
  <c r="D26" i="69" l="1"/>
  <c r="D34" i="71"/>
  <c r="E34" i="71" s="1"/>
  <c r="F34" i="71" s="1"/>
  <c r="G34" i="71"/>
  <c r="H34" i="71" s="1"/>
  <c r="F31" i="72"/>
  <c r="D32" i="72" s="1"/>
  <c r="E32" i="72" s="1"/>
  <c r="D34" i="87"/>
  <c r="V77" i="87"/>
  <c r="O68" i="80"/>
  <c r="J92" i="80"/>
  <c r="X76" i="87"/>
  <c r="D33" i="87"/>
  <c r="T80" i="87"/>
  <c r="O80" i="87"/>
  <c r="F76" i="87"/>
  <c r="E49" i="78"/>
  <c r="F49" i="78" s="1"/>
  <c r="D50" i="78" s="1"/>
  <c r="C53" i="78"/>
  <c r="O38" i="82"/>
  <c r="K39" i="82"/>
  <c r="E48" i="82"/>
  <c r="D26" i="83"/>
  <c r="E26" i="83" s="1"/>
  <c r="F26" i="83" s="1"/>
  <c r="O31" i="82"/>
  <c r="C36" i="83"/>
  <c r="E28" i="79"/>
  <c r="F76" i="80"/>
  <c r="P63" i="80"/>
  <c r="C38" i="79"/>
  <c r="J35" i="73"/>
  <c r="K35" i="73" s="1"/>
  <c r="L35" i="73" s="1"/>
  <c r="E33" i="73"/>
  <c r="F33" i="73" s="1"/>
  <c r="G33" i="73" s="1"/>
  <c r="D38" i="73"/>
  <c r="I38" i="73"/>
  <c r="J38" i="72"/>
  <c r="K38" i="72" s="1"/>
  <c r="L38" i="72" s="1"/>
  <c r="I40" i="72"/>
  <c r="C37" i="72"/>
  <c r="C38" i="71"/>
  <c r="C32" i="69"/>
  <c r="C35" i="67"/>
  <c r="U94" i="63"/>
  <c r="P37" i="63"/>
  <c r="O35" i="63" s="1"/>
  <c r="T35" i="63" s="1"/>
  <c r="P22" i="63"/>
  <c r="E32" i="67"/>
  <c r="P36" i="63" s="1"/>
  <c r="O34" i="63" s="1"/>
  <c r="T34" i="63" s="1"/>
  <c r="D24" i="68"/>
  <c r="E26" i="69" l="1"/>
  <c r="F26" i="69" s="1"/>
  <c r="D27" i="69" s="1"/>
  <c r="E27" i="69" s="1"/>
  <c r="F27" i="69" s="1"/>
  <c r="D28" i="69" s="1"/>
  <c r="E28" i="69" s="1"/>
  <c r="F28" i="69" s="1"/>
  <c r="D29" i="69" s="1"/>
  <c r="E29" i="69" s="1"/>
  <c r="F29" i="69" s="1"/>
  <c r="D30" i="69" s="1"/>
  <c r="E30" i="69" s="1"/>
  <c r="F30" i="69" s="1"/>
  <c r="D31" i="69" s="1"/>
  <c r="J60" i="70"/>
  <c r="D35" i="71"/>
  <c r="E35" i="71" s="1"/>
  <c r="F35" i="71" s="1"/>
  <c r="G35" i="71"/>
  <c r="H35" i="71" s="1"/>
  <c r="F32" i="72"/>
  <c r="D33" i="72" s="1"/>
  <c r="E33" i="72" s="1"/>
  <c r="O109" i="63"/>
  <c r="K124" i="63"/>
  <c r="O122" i="63" s="1"/>
  <c r="V60" i="87"/>
  <c r="K33" i="87"/>
  <c r="D37" i="87"/>
  <c r="I34" i="87"/>
  <c r="I37" i="87" s="1"/>
  <c r="V80" i="87"/>
  <c r="V84" i="87" s="1"/>
  <c r="X77" i="87"/>
  <c r="X80" i="87" s="1"/>
  <c r="D77" i="87"/>
  <c r="I76" i="87"/>
  <c r="M76" i="87" s="1"/>
  <c r="F71" i="70"/>
  <c r="P71" i="70" s="1"/>
  <c r="H36" i="85"/>
  <c r="H40" i="85" s="1"/>
  <c r="H42" i="85" s="1"/>
  <c r="H44" i="85" s="1"/>
  <c r="E50" i="78"/>
  <c r="F50" i="78" s="1"/>
  <c r="D51" i="78" s="1"/>
  <c r="C54" i="78"/>
  <c r="D27" i="83"/>
  <c r="E27" i="83" s="1"/>
  <c r="F27" i="83" s="1"/>
  <c r="J37" i="82"/>
  <c r="G17" i="85" s="1"/>
  <c r="P76" i="80"/>
  <c r="C37" i="83"/>
  <c r="F28" i="79"/>
  <c r="D29" i="79" s="1"/>
  <c r="E29" i="79" s="1"/>
  <c r="F29" i="79" s="1"/>
  <c r="D30" i="79" s="1"/>
  <c r="E30" i="79" s="1"/>
  <c r="F30" i="79" s="1"/>
  <c r="D31" i="79" s="1"/>
  <c r="E31" i="79" s="1"/>
  <c r="F31" i="79" s="1"/>
  <c r="D32" i="79" s="1"/>
  <c r="E32" i="79" s="1"/>
  <c r="F32" i="79" s="1"/>
  <c r="D33" i="79" s="1"/>
  <c r="E33" i="79" s="1"/>
  <c r="F33" i="79" s="1"/>
  <c r="F75" i="80"/>
  <c r="C39" i="79"/>
  <c r="E34" i="73"/>
  <c r="F34" i="73" s="1"/>
  <c r="G34" i="73" s="1"/>
  <c r="J36" i="73"/>
  <c r="K36" i="73" s="1"/>
  <c r="L36" i="73" s="1"/>
  <c r="I39" i="73"/>
  <c r="D39" i="73"/>
  <c r="J39" i="72"/>
  <c r="K39" i="72" s="1"/>
  <c r="L39" i="72" s="1"/>
  <c r="I41" i="72"/>
  <c r="C38" i="72"/>
  <c r="C39" i="71"/>
  <c r="C33" i="69"/>
  <c r="O21" i="63"/>
  <c r="T21" i="63" s="1"/>
  <c r="U22" i="63"/>
  <c r="C36" i="67"/>
  <c r="C37" i="67" s="1"/>
  <c r="C38" i="67" s="1"/>
  <c r="C39" i="67" s="1"/>
  <c r="C40" i="67" s="1"/>
  <c r="C41" i="67" s="1"/>
  <c r="U130" i="63"/>
  <c r="F32" i="67"/>
  <c r="I42" i="61"/>
  <c r="D19" i="61"/>
  <c r="N20" i="61" s="1"/>
  <c r="C35" i="61"/>
  <c r="M35" i="61" s="1"/>
  <c r="N22" i="61"/>
  <c r="M9" i="61"/>
  <c r="D19" i="62"/>
  <c r="A40" i="61"/>
  <c r="A33" i="61"/>
  <c r="A27" i="61"/>
  <c r="A18" i="61"/>
  <c r="A8" i="61"/>
  <c r="B21" i="62"/>
  <c r="B19" i="51"/>
  <c r="M10" i="61"/>
  <c r="L89" i="55"/>
  <c r="L80" i="55"/>
  <c r="L79" i="55"/>
  <c r="M78" i="55"/>
  <c r="O60" i="70" l="1"/>
  <c r="K61" i="70"/>
  <c r="P61" i="70" s="1"/>
  <c r="E70" i="70"/>
  <c r="K72" i="70" s="1"/>
  <c r="J70" i="70" s="1"/>
  <c r="O70" i="70" s="1"/>
  <c r="E31" i="69"/>
  <c r="D36" i="71"/>
  <c r="E36" i="71" s="1"/>
  <c r="F36" i="71" s="1"/>
  <c r="G36" i="71"/>
  <c r="H36" i="71" s="1"/>
  <c r="F33" i="72"/>
  <c r="D34" i="72" s="1"/>
  <c r="E34" i="72" s="1"/>
  <c r="T109" i="63"/>
  <c r="P110" i="63"/>
  <c r="U110" i="63" s="1"/>
  <c r="P123" i="63"/>
  <c r="U124" i="63" s="1"/>
  <c r="K34" i="87"/>
  <c r="K37" i="87" s="1"/>
  <c r="V61" i="87"/>
  <c r="I16" i="87"/>
  <c r="X60" i="87"/>
  <c r="V86" i="87"/>
  <c r="I41" i="87"/>
  <c r="I43" i="87" s="1"/>
  <c r="D17" i="85"/>
  <c r="D19" i="85" s="1"/>
  <c r="O73" i="87"/>
  <c r="Q73" i="87" s="1"/>
  <c r="F77" i="87"/>
  <c r="F80" i="87" s="1"/>
  <c r="D80" i="87"/>
  <c r="D84" i="87"/>
  <c r="Z76" i="87"/>
  <c r="D33" i="85"/>
  <c r="D34" i="85" s="1"/>
  <c r="D42" i="85" s="1"/>
  <c r="D44" i="85" s="1"/>
  <c r="E51" i="78"/>
  <c r="F51" i="78" s="1"/>
  <c r="D52" i="78" s="1"/>
  <c r="C55" i="78"/>
  <c r="D28" i="83"/>
  <c r="E28" i="83" s="1"/>
  <c r="F28" i="83" s="1"/>
  <c r="D29" i="83" s="1"/>
  <c r="E29" i="83" s="1"/>
  <c r="F29" i="83" s="1"/>
  <c r="D30" i="83" s="1"/>
  <c r="E30" i="83" s="1"/>
  <c r="F30" i="83" s="1"/>
  <c r="D31" i="83" s="1"/>
  <c r="E31" i="83" s="1"/>
  <c r="F31" i="83" s="1"/>
  <c r="D32" i="83" s="1"/>
  <c r="E32" i="83" s="1"/>
  <c r="F32" i="83" s="1"/>
  <c r="O37" i="82"/>
  <c r="O48" i="82" s="1"/>
  <c r="J48" i="82"/>
  <c r="C38" i="83"/>
  <c r="P75" i="80"/>
  <c r="O92" i="80" s="1"/>
  <c r="E92" i="80"/>
  <c r="D34" i="79"/>
  <c r="E34" i="79" s="1"/>
  <c r="F34" i="79" s="1"/>
  <c r="C40" i="79"/>
  <c r="D40" i="73"/>
  <c r="I40" i="73"/>
  <c r="J37" i="73"/>
  <c r="K37" i="73" s="1"/>
  <c r="L37" i="73" s="1"/>
  <c r="E35" i="73"/>
  <c r="F35" i="73" s="1"/>
  <c r="G35" i="73" s="1"/>
  <c r="J40" i="72"/>
  <c r="K40" i="72" s="1"/>
  <c r="L40" i="72" s="1"/>
  <c r="I42" i="72"/>
  <c r="C39" i="72"/>
  <c r="C40" i="71"/>
  <c r="C34" i="69"/>
  <c r="C42" i="67"/>
  <c r="C43" i="67" s="1"/>
  <c r="C44" i="67" s="1"/>
  <c r="C45" i="67" s="1"/>
  <c r="C46" i="67" s="1"/>
  <c r="C47" i="67" s="1"/>
  <c r="C48" i="67" s="1"/>
  <c r="C49" i="67" s="1"/>
  <c r="C50" i="67" s="1"/>
  <c r="C51" i="67" s="1"/>
  <c r="C52" i="67" s="1"/>
  <c r="U168" i="63"/>
  <c r="G33" i="67"/>
  <c r="D33" i="67"/>
  <c r="M6" i="68"/>
  <c r="M8" i="68" s="1"/>
  <c r="E24" i="68"/>
  <c r="E23" i="68"/>
  <c r="J85" i="63" s="1"/>
  <c r="I64" i="61"/>
  <c r="D41" i="61"/>
  <c r="C57" i="61"/>
  <c r="M57" i="61" s="1"/>
  <c r="E69" i="70" l="1"/>
  <c r="K71" i="70" s="1"/>
  <c r="J69" i="70" s="1"/>
  <c r="O69" i="70" s="1"/>
  <c r="F31" i="69"/>
  <c r="D37" i="71"/>
  <c r="E37" i="71" s="1"/>
  <c r="F37" i="71" s="1"/>
  <c r="G37" i="71"/>
  <c r="H37" i="71"/>
  <c r="F34" i="72"/>
  <c r="D35" i="72" s="1"/>
  <c r="E35" i="72" s="1"/>
  <c r="F24" i="68"/>
  <c r="D25" i="68" s="1"/>
  <c r="K123" i="63"/>
  <c r="U123" i="63" s="1"/>
  <c r="Z60" i="87"/>
  <c r="X61" i="87"/>
  <c r="Z61" i="87" s="1"/>
  <c r="I17" i="87"/>
  <c r="I21" i="87" s="1"/>
  <c r="K16" i="87"/>
  <c r="K17" i="87" s="1"/>
  <c r="K21" i="87" s="1"/>
  <c r="O55" i="87"/>
  <c r="Q74" i="87"/>
  <c r="Q86" i="87" s="1"/>
  <c r="O74" i="87"/>
  <c r="O84" i="87" s="1"/>
  <c r="O86" i="87" s="1"/>
  <c r="D86" i="87"/>
  <c r="I84" i="87"/>
  <c r="I77" i="87"/>
  <c r="M77" i="87" s="1"/>
  <c r="M80" i="87" s="1"/>
  <c r="E52" i="78"/>
  <c r="F52" i="78" s="1"/>
  <c r="D53" i="78" s="1"/>
  <c r="C56" i="78"/>
  <c r="D33" i="83"/>
  <c r="E33" i="83" s="1"/>
  <c r="F33" i="83" s="1"/>
  <c r="D34" i="83" s="1"/>
  <c r="E34" i="83" s="1"/>
  <c r="F34" i="83" s="1"/>
  <c r="D35" i="83" s="1"/>
  <c r="E35" i="83" s="1"/>
  <c r="F35" i="83" s="1"/>
  <c r="D36" i="83" s="1"/>
  <c r="E36" i="83" s="1"/>
  <c r="F36" i="83" s="1"/>
  <c r="C39" i="83"/>
  <c r="D35" i="79"/>
  <c r="E35" i="79" s="1"/>
  <c r="F35" i="79" s="1"/>
  <c r="C41" i="79"/>
  <c r="E36" i="73"/>
  <c r="F36" i="73" s="1"/>
  <c r="G36" i="73" s="1"/>
  <c r="J38" i="73"/>
  <c r="K38" i="73" s="1"/>
  <c r="L38" i="73" s="1"/>
  <c r="I41" i="73"/>
  <c r="D41" i="73"/>
  <c r="J41" i="72"/>
  <c r="K41" i="72" s="1"/>
  <c r="L41" i="72" s="1"/>
  <c r="I43" i="72"/>
  <c r="C40" i="72"/>
  <c r="C41" i="71"/>
  <c r="C35" i="69"/>
  <c r="E33" i="67"/>
  <c r="P48" i="63"/>
  <c r="J61" i="63"/>
  <c r="P63" i="63" s="1"/>
  <c r="O61" i="63" s="1"/>
  <c r="T61" i="63" s="1"/>
  <c r="H33" i="67"/>
  <c r="U49" i="63"/>
  <c r="E21" i="68"/>
  <c r="J29" i="63" s="1"/>
  <c r="E22" i="68"/>
  <c r="J55" i="63" s="1"/>
  <c r="C53" i="67"/>
  <c r="K88" i="63"/>
  <c r="U88" i="63" s="1"/>
  <c r="D63" i="61"/>
  <c r="H10" i="69" l="1"/>
  <c r="D32" i="69"/>
  <c r="E32" i="69" s="1"/>
  <c r="F32" i="69"/>
  <c r="D33" i="69" s="1"/>
  <c r="E33" i="69" s="1"/>
  <c r="F33" i="69" s="1"/>
  <c r="D34" i="69" s="1"/>
  <c r="E34" i="69" s="1"/>
  <c r="F34" i="69" s="1"/>
  <c r="D35" i="69" s="1"/>
  <c r="E35" i="69" s="1"/>
  <c r="F35" i="69" s="1"/>
  <c r="D38" i="71"/>
  <c r="E38" i="71" s="1"/>
  <c r="F38" i="71" s="1"/>
  <c r="G38" i="71"/>
  <c r="H38" i="71" s="1"/>
  <c r="F35" i="72"/>
  <c r="D36" i="72" s="1"/>
  <c r="E36" i="72" s="1"/>
  <c r="E25" i="68"/>
  <c r="F25" i="68" s="1"/>
  <c r="D26" i="68" s="1"/>
  <c r="E26" i="68" s="1"/>
  <c r="F26" i="68" s="1"/>
  <c r="D27" i="68" s="1"/>
  <c r="E27" i="68" s="1"/>
  <c r="F27" i="68" s="1"/>
  <c r="D28" i="68" s="1"/>
  <c r="E28" i="68" s="1"/>
  <c r="F28" i="68" s="1"/>
  <c r="O145" i="63"/>
  <c r="T73" i="87"/>
  <c r="X73" i="87" s="1"/>
  <c r="Q55" i="87"/>
  <c r="Q58" i="87" s="1"/>
  <c r="O58" i="87"/>
  <c r="M84" i="87"/>
  <c r="Z80" i="87"/>
  <c r="I86" i="87"/>
  <c r="F41" i="87"/>
  <c r="H18" i="85"/>
  <c r="H19" i="85" s="1"/>
  <c r="H24" i="85" s="1"/>
  <c r="D11" i="85"/>
  <c r="D15" i="85" s="1"/>
  <c r="D24" i="85" s="1"/>
  <c r="E53" i="78"/>
  <c r="F53" i="78" s="1"/>
  <c r="D54" i="78" s="1"/>
  <c r="C57" i="78"/>
  <c r="D37" i="83"/>
  <c r="E37" i="83" s="1"/>
  <c r="F37" i="83" s="1"/>
  <c r="C40" i="83"/>
  <c r="D36" i="79"/>
  <c r="E36" i="79" s="1"/>
  <c r="F36" i="79" s="1"/>
  <c r="C42" i="79"/>
  <c r="J39" i="73"/>
  <c r="K39" i="73" s="1"/>
  <c r="L39" i="73" s="1"/>
  <c r="D42" i="73"/>
  <c r="I42" i="73"/>
  <c r="E37" i="73"/>
  <c r="F37" i="73" s="1"/>
  <c r="G37" i="73" s="1"/>
  <c r="J42" i="72"/>
  <c r="K42" i="72" s="1"/>
  <c r="L42" i="72" s="1"/>
  <c r="I44" i="72"/>
  <c r="C41" i="72"/>
  <c r="C42" i="71"/>
  <c r="C36" i="69"/>
  <c r="O47" i="63"/>
  <c r="T47" i="63" s="1"/>
  <c r="U48" i="63"/>
  <c r="F33" i="67"/>
  <c r="J60" i="63"/>
  <c r="P62" i="63" s="1"/>
  <c r="O60" i="63" s="1"/>
  <c r="T60" i="63" s="1"/>
  <c r="T29" i="63"/>
  <c r="K30" i="63"/>
  <c r="U30" i="63" s="1"/>
  <c r="K56" i="63"/>
  <c r="U56" i="63" s="1"/>
  <c r="T55" i="63"/>
  <c r="C54" i="67"/>
  <c r="N18" i="68"/>
  <c r="T85" i="63"/>
  <c r="J35" i="54"/>
  <c r="J17" i="54"/>
  <c r="J18" i="54"/>
  <c r="J16" i="54"/>
  <c r="M99" i="2"/>
  <c r="M98" i="2"/>
  <c r="I67" i="2"/>
  <c r="N68" i="2" s="1"/>
  <c r="N111" i="2"/>
  <c r="M110" i="2"/>
  <c r="M107" i="2"/>
  <c r="M106" i="2"/>
  <c r="M105" i="2"/>
  <c r="J35" i="25"/>
  <c r="H35" i="25"/>
  <c r="J18" i="25"/>
  <c r="J17" i="25"/>
  <c r="J16" i="25"/>
  <c r="F19" i="8"/>
  <c r="F18" i="8"/>
  <c r="H16" i="54" s="1"/>
  <c r="H37" i="58"/>
  <c r="M20" i="58"/>
  <c r="M19" i="58"/>
  <c r="M18" i="58"/>
  <c r="N17" i="58"/>
  <c r="M16" i="58"/>
  <c r="D67" i="58"/>
  <c r="G29" i="59"/>
  <c r="G28" i="59"/>
  <c r="J29" i="59"/>
  <c r="J28" i="59"/>
  <c r="J26" i="59"/>
  <c r="H16" i="25" l="1"/>
  <c r="H35" i="54"/>
  <c r="K35" i="54" s="1"/>
  <c r="E78" i="55" s="1"/>
  <c r="O78" i="55" s="1"/>
  <c r="D39" i="71"/>
  <c r="E39" i="71" s="1"/>
  <c r="F39" i="71" s="1"/>
  <c r="G39" i="71"/>
  <c r="H39" i="71" s="1"/>
  <c r="F36" i="72"/>
  <c r="D37" i="72" s="1"/>
  <c r="E37" i="72" s="1"/>
  <c r="P146" i="63"/>
  <c r="U146" i="63" s="1"/>
  <c r="T145" i="63"/>
  <c r="T55" i="87"/>
  <c r="T58" i="87" s="1"/>
  <c r="T74" i="87"/>
  <c r="T84" i="87" s="1"/>
  <c r="T86" i="87" s="1"/>
  <c r="Z73" i="87"/>
  <c r="X74" i="87"/>
  <c r="F43" i="87"/>
  <c r="M86" i="87"/>
  <c r="E54" i="78"/>
  <c r="F54" i="78" s="1"/>
  <c r="D55" i="78" s="1"/>
  <c r="C58" i="78"/>
  <c r="D38" i="83"/>
  <c r="E38" i="83" s="1"/>
  <c r="F38" i="83" s="1"/>
  <c r="C41" i="83"/>
  <c r="D37" i="79"/>
  <c r="E37" i="79" s="1"/>
  <c r="F37" i="79" s="1"/>
  <c r="C43" i="79"/>
  <c r="E38" i="73"/>
  <c r="F38" i="73" s="1"/>
  <c r="G38" i="73" s="1"/>
  <c r="J40" i="73"/>
  <c r="K40" i="73" s="1"/>
  <c r="L40" i="73" s="1"/>
  <c r="I43" i="73"/>
  <c r="D43" i="73"/>
  <c r="J43" i="72"/>
  <c r="K43" i="72" s="1"/>
  <c r="L43" i="72" s="1"/>
  <c r="I45" i="72"/>
  <c r="C42" i="72"/>
  <c r="C43" i="71"/>
  <c r="D36" i="69"/>
  <c r="E36" i="69" s="1"/>
  <c r="F36" i="69" s="1"/>
  <c r="C37" i="69"/>
  <c r="N24" i="68"/>
  <c r="N32" i="68"/>
  <c r="N40" i="68"/>
  <c r="N48" i="68"/>
  <c r="N56" i="68"/>
  <c r="N25" i="68"/>
  <c r="N33" i="68"/>
  <c r="N41" i="68"/>
  <c r="N49" i="68"/>
  <c r="N57" i="68"/>
  <c r="N26" i="68"/>
  <c r="N34" i="68"/>
  <c r="N42" i="68"/>
  <c r="N50" i="68"/>
  <c r="N58" i="68"/>
  <c r="N44" i="68"/>
  <c r="N37" i="68"/>
  <c r="N53" i="68"/>
  <c r="N38" i="68"/>
  <c r="N54" i="68"/>
  <c r="N39" i="68"/>
  <c r="N23" i="68"/>
  <c r="J98" i="63" s="1"/>
  <c r="N27" i="68"/>
  <c r="N35" i="68"/>
  <c r="N43" i="68"/>
  <c r="N51" i="68"/>
  <c r="N59" i="68"/>
  <c r="N28" i="68"/>
  <c r="N36" i="68"/>
  <c r="N52" i="68"/>
  <c r="N60" i="68"/>
  <c r="N45" i="68"/>
  <c r="N61" i="68"/>
  <c r="N30" i="68"/>
  <c r="J189" i="63" s="1"/>
  <c r="K190" i="63" s="1"/>
  <c r="N46" i="68"/>
  <c r="N62" i="68"/>
  <c r="N47" i="68"/>
  <c r="N29" i="68"/>
  <c r="N55" i="68"/>
  <c r="N31" i="68"/>
  <c r="J229" i="63" s="1"/>
  <c r="D29" i="68"/>
  <c r="E29" i="68" s="1"/>
  <c r="F29" i="68" s="1"/>
  <c r="G34" i="67"/>
  <c r="D34" i="67"/>
  <c r="J87" i="63"/>
  <c r="C55" i="67"/>
  <c r="K35" i="25"/>
  <c r="E96" i="2" s="1"/>
  <c r="O96" i="2" s="1"/>
  <c r="J29" i="56"/>
  <c r="K29" i="56" s="1"/>
  <c r="J28" i="56"/>
  <c r="J26" i="56"/>
  <c r="L16" i="25"/>
  <c r="G18" i="25"/>
  <c r="G17" i="25"/>
  <c r="H17" i="54"/>
  <c r="G18" i="54"/>
  <c r="G17" i="54"/>
  <c r="F20" i="8"/>
  <c r="H18" i="54" s="1"/>
  <c r="K18" i="54" s="1"/>
  <c r="E56" i="55" s="1"/>
  <c r="M49" i="58"/>
  <c r="N48" i="58"/>
  <c r="D39" i="58"/>
  <c r="N39" i="58" s="1"/>
  <c r="D24" i="58"/>
  <c r="N26" i="58" s="1"/>
  <c r="M10" i="58"/>
  <c r="M74" i="57"/>
  <c r="M54" i="57"/>
  <c r="M53" i="57"/>
  <c r="M52" i="57"/>
  <c r="M27" i="57"/>
  <c r="N73" i="57"/>
  <c r="D66" i="57"/>
  <c r="C71" i="57" s="1"/>
  <c r="M71" i="57" s="1"/>
  <c r="D50" i="57"/>
  <c r="N50" i="57" s="1"/>
  <c r="C23" i="57"/>
  <c r="M23" i="57" s="1"/>
  <c r="G13" i="55"/>
  <c r="G12" i="55"/>
  <c r="B32" i="55"/>
  <c r="B55" i="55" s="1"/>
  <c r="C17" i="55"/>
  <c r="M19" i="55" s="1"/>
  <c r="L9" i="55"/>
  <c r="M80" i="2"/>
  <c r="D69" i="2"/>
  <c r="M52" i="2"/>
  <c r="M23" i="2"/>
  <c r="C48" i="2"/>
  <c r="M48" i="2" s="1"/>
  <c r="C19" i="2"/>
  <c r="M19" i="2" s="1"/>
  <c r="B5" i="62"/>
  <c r="D40" i="71" l="1"/>
  <c r="E40" i="71" s="1"/>
  <c r="F40" i="71" s="1"/>
  <c r="G40" i="71"/>
  <c r="H40" i="71" s="1"/>
  <c r="F37" i="72"/>
  <c r="D38" i="72" s="1"/>
  <c r="E38" i="72" s="1"/>
  <c r="K230" i="63"/>
  <c r="U231" i="63" s="1"/>
  <c r="T229" i="63"/>
  <c r="F11" i="61"/>
  <c r="F36" i="61"/>
  <c r="F58" i="61"/>
  <c r="D41" i="87"/>
  <c r="D43" i="87" s="1"/>
  <c r="X55" i="87"/>
  <c r="X58" i="87" s="1"/>
  <c r="X84" i="87"/>
  <c r="Z74" i="87"/>
  <c r="E55" i="78"/>
  <c r="F55" i="78" s="1"/>
  <c r="D56" i="78" s="1"/>
  <c r="C59" i="78"/>
  <c r="C42" i="83"/>
  <c r="D39" i="83"/>
  <c r="E39" i="83" s="1"/>
  <c r="F39" i="83" s="1"/>
  <c r="D38" i="79"/>
  <c r="E38" i="79" s="1"/>
  <c r="F38" i="79" s="1"/>
  <c r="C44" i="79"/>
  <c r="E39" i="73"/>
  <c r="F39" i="73" s="1"/>
  <c r="G39" i="73" s="1"/>
  <c r="D44" i="73"/>
  <c r="I44" i="73"/>
  <c r="J41" i="73"/>
  <c r="K41" i="73" s="1"/>
  <c r="L41" i="73" s="1"/>
  <c r="I46" i="72"/>
  <c r="J44" i="72"/>
  <c r="K44" i="72" s="1"/>
  <c r="L44" i="72" s="1"/>
  <c r="C43" i="72"/>
  <c r="C44" i="71"/>
  <c r="T87" i="63"/>
  <c r="D37" i="69"/>
  <c r="E37" i="69" s="1"/>
  <c r="F37" i="69" s="1"/>
  <c r="C38" i="69"/>
  <c r="T189" i="63"/>
  <c r="U192" i="63"/>
  <c r="D30" i="68"/>
  <c r="H34" i="67"/>
  <c r="U74" i="63"/>
  <c r="E34" i="67"/>
  <c r="P73" i="63"/>
  <c r="J92" i="63"/>
  <c r="P94" i="63" s="1"/>
  <c r="O92" i="63" s="1"/>
  <c r="T92" i="63" s="1"/>
  <c r="K99" i="63"/>
  <c r="U99" i="63" s="1"/>
  <c r="T98" i="63"/>
  <c r="N14" i="68"/>
  <c r="J134" i="63"/>
  <c r="C56" i="67"/>
  <c r="L55" i="55"/>
  <c r="B77" i="55"/>
  <c r="L77" i="55" s="1"/>
  <c r="L32" i="55"/>
  <c r="C39" i="55"/>
  <c r="C63" i="55" s="1"/>
  <c r="C76" i="2"/>
  <c r="M76" i="2" s="1"/>
  <c r="D97" i="2"/>
  <c r="N97" i="2" s="1"/>
  <c r="K16" i="54"/>
  <c r="E11" i="55" s="1"/>
  <c r="F10" i="2"/>
  <c r="E19" i="2" s="1"/>
  <c r="K17" i="54"/>
  <c r="E33" i="55" s="1"/>
  <c r="L16" i="54"/>
  <c r="D9" i="55" s="1"/>
  <c r="E17" i="55" s="1"/>
  <c r="D16" i="55" s="1"/>
  <c r="N16" i="55" s="1"/>
  <c r="K16" i="25"/>
  <c r="E8" i="2" s="1"/>
  <c r="C45" i="58"/>
  <c r="M46" i="58" s="1"/>
  <c r="M73" i="61"/>
  <c r="N72" i="61"/>
  <c r="M71" i="61"/>
  <c r="M59" i="61"/>
  <c r="N58" i="61"/>
  <c r="I58" i="61"/>
  <c r="I57" i="61"/>
  <c r="H56" i="61"/>
  <c r="M56" i="61" s="1"/>
  <c r="M51" i="61"/>
  <c r="N50" i="61"/>
  <c r="M49" i="61"/>
  <c r="M37" i="61"/>
  <c r="N36" i="61"/>
  <c r="I36" i="61"/>
  <c r="I35" i="61"/>
  <c r="H34" i="61"/>
  <c r="M34" i="61" s="1"/>
  <c r="H33" i="61"/>
  <c r="H55" i="61" s="1"/>
  <c r="M55" i="61" s="1"/>
  <c r="M29" i="61"/>
  <c r="N28" i="61"/>
  <c r="M27" i="61"/>
  <c r="I41" i="61"/>
  <c r="N12" i="61"/>
  <c r="I12" i="61"/>
  <c r="N11" i="61"/>
  <c r="M8" i="61"/>
  <c r="H8" i="61"/>
  <c r="M87" i="50"/>
  <c r="N86" i="50"/>
  <c r="K86" i="50"/>
  <c r="P86" i="50" s="1"/>
  <c r="N85" i="50"/>
  <c r="K85" i="50"/>
  <c r="M84" i="50"/>
  <c r="M81" i="50"/>
  <c r="N80" i="50"/>
  <c r="M79" i="50"/>
  <c r="M76" i="50"/>
  <c r="M75" i="50"/>
  <c r="N74" i="50"/>
  <c r="N73" i="50"/>
  <c r="C72" i="50"/>
  <c r="M72" i="50" s="1"/>
  <c r="M71" i="50"/>
  <c r="C71" i="50"/>
  <c r="M68" i="50"/>
  <c r="M67" i="50"/>
  <c r="N66" i="50"/>
  <c r="N65" i="50"/>
  <c r="N64" i="50"/>
  <c r="M63" i="50"/>
  <c r="H63" i="50"/>
  <c r="K58" i="50"/>
  <c r="K57" i="50"/>
  <c r="C44" i="50"/>
  <c r="N37" i="50"/>
  <c r="D41" i="71" l="1"/>
  <c r="E41" i="71" s="1"/>
  <c r="F41" i="71" s="1"/>
  <c r="G41" i="71"/>
  <c r="H41" i="71" s="1"/>
  <c r="J84" i="50"/>
  <c r="O84" i="50" s="1"/>
  <c r="F38" i="72"/>
  <c r="D39" i="72" s="1"/>
  <c r="E39" i="72" s="1"/>
  <c r="E30" i="68"/>
  <c r="K161" i="63" s="1"/>
  <c r="K162" i="63"/>
  <c r="O160" i="63" s="1"/>
  <c r="P161" i="63"/>
  <c r="U162" i="63" s="1"/>
  <c r="K41" i="87"/>
  <c r="K43" i="87" s="1"/>
  <c r="Z55" i="87"/>
  <c r="X86" i="87"/>
  <c r="Z86" i="87" s="1"/>
  <c r="Z84" i="87"/>
  <c r="Z65" i="87"/>
  <c r="Z58" i="87"/>
  <c r="E56" i="78"/>
  <c r="F56" i="78" s="1"/>
  <c r="D57" i="78" s="1"/>
  <c r="C60" i="78"/>
  <c r="D40" i="83"/>
  <c r="E40" i="83" s="1"/>
  <c r="F40" i="83" s="1"/>
  <c r="C43" i="83"/>
  <c r="D39" i="79"/>
  <c r="E39" i="79" s="1"/>
  <c r="F39" i="79" s="1"/>
  <c r="C45" i="79"/>
  <c r="J42" i="73"/>
  <c r="K42" i="73" s="1"/>
  <c r="L42" i="73" s="1"/>
  <c r="E40" i="73"/>
  <c r="F40" i="73" s="1"/>
  <c r="G40" i="73" s="1"/>
  <c r="I45" i="73"/>
  <c r="D45" i="73"/>
  <c r="J45" i="72"/>
  <c r="K45" i="72" s="1"/>
  <c r="L45" i="72" s="1"/>
  <c r="I47" i="72"/>
  <c r="C44" i="72"/>
  <c r="C45" i="71"/>
  <c r="D38" i="69"/>
  <c r="C39" i="69"/>
  <c r="E38" i="69"/>
  <c r="F38" i="69" s="1"/>
  <c r="U73" i="63"/>
  <c r="O72" i="63"/>
  <c r="T72" i="63" s="1"/>
  <c r="F34" i="67"/>
  <c r="J93" i="63"/>
  <c r="P95" i="63" s="1"/>
  <c r="O93" i="63" s="1"/>
  <c r="T93" i="63" s="1"/>
  <c r="K135" i="63"/>
  <c r="U135" i="63" s="1"/>
  <c r="T134" i="63"/>
  <c r="C57" i="67"/>
  <c r="J43" i="67"/>
  <c r="I63" i="61"/>
  <c r="N21" i="61"/>
  <c r="M41" i="55"/>
  <c r="M64" i="55"/>
  <c r="C86" i="55"/>
  <c r="M88" i="55" s="1"/>
  <c r="C103" i="2"/>
  <c r="M103" i="2" s="1"/>
  <c r="M33" i="61"/>
  <c r="P85" i="50"/>
  <c r="H35" i="50"/>
  <c r="M35" i="50"/>
  <c r="N36" i="50"/>
  <c r="N38" i="50"/>
  <c r="M39" i="50"/>
  <c r="M40" i="50"/>
  <c r="C43" i="50"/>
  <c r="M43" i="50" s="1"/>
  <c r="M44" i="50"/>
  <c r="N45" i="50"/>
  <c r="N46" i="50"/>
  <c r="M47" i="50"/>
  <c r="M48" i="50"/>
  <c r="M51" i="50"/>
  <c r="N52" i="50"/>
  <c r="M53" i="50"/>
  <c r="M56" i="50"/>
  <c r="P57" i="50"/>
  <c r="N57" i="50"/>
  <c r="N58" i="50"/>
  <c r="M59" i="50"/>
  <c r="M25" i="50"/>
  <c r="N24" i="50"/>
  <c r="M23" i="50"/>
  <c r="M28" i="50"/>
  <c r="N29" i="50"/>
  <c r="N30" i="50"/>
  <c r="M31" i="50"/>
  <c r="K30" i="50"/>
  <c r="P30" i="50" s="1"/>
  <c r="K29" i="50"/>
  <c r="N17" i="50"/>
  <c r="N18" i="50"/>
  <c r="M19" i="50"/>
  <c r="M20" i="50"/>
  <c r="C16" i="50"/>
  <c r="M16" i="50" s="1"/>
  <c r="C15" i="50"/>
  <c r="M15" i="50" s="1"/>
  <c r="M7" i="50"/>
  <c r="M8" i="50"/>
  <c r="N9" i="50"/>
  <c r="N10" i="50"/>
  <c r="M11" i="50"/>
  <c r="M12" i="50"/>
  <c r="D42" i="71" l="1"/>
  <c r="E42" i="71" s="1"/>
  <c r="F42" i="71" s="1"/>
  <c r="G42" i="71"/>
  <c r="H42" i="71" s="1"/>
  <c r="F39" i="72"/>
  <c r="D40" i="72" s="1"/>
  <c r="E40" i="72" s="1"/>
  <c r="F30" i="68"/>
  <c r="D31" i="68" s="1"/>
  <c r="E31" i="68" s="1"/>
  <c r="F31" i="68" s="1"/>
  <c r="D32" i="68" s="1"/>
  <c r="U161" i="63"/>
  <c r="E57" i="78"/>
  <c r="F57" i="78" s="1"/>
  <c r="D58" i="78" s="1"/>
  <c r="C61" i="78"/>
  <c r="D41" i="83"/>
  <c r="E41" i="83" s="1"/>
  <c r="F41" i="83" s="1"/>
  <c r="C44" i="83"/>
  <c r="D40" i="79"/>
  <c r="E40" i="79" s="1"/>
  <c r="F40" i="79" s="1"/>
  <c r="C46" i="79"/>
  <c r="E41" i="73"/>
  <c r="F41" i="73" s="1"/>
  <c r="G41" i="73" s="1"/>
  <c r="J43" i="73"/>
  <c r="K43" i="73" s="1"/>
  <c r="L43" i="73" s="1"/>
  <c r="D46" i="73"/>
  <c r="I46" i="73"/>
  <c r="J46" i="72"/>
  <c r="K46" i="72" s="1"/>
  <c r="L46" i="72" s="1"/>
  <c r="I48" i="72"/>
  <c r="C45" i="72"/>
  <c r="C46" i="71"/>
  <c r="D39" i="69"/>
  <c r="E39" i="69" s="1"/>
  <c r="F39" i="69" s="1"/>
  <c r="C40" i="69"/>
  <c r="D35" i="67"/>
  <c r="G35" i="67"/>
  <c r="C58" i="67"/>
  <c r="J44" i="67"/>
  <c r="J56" i="50"/>
  <c r="O56" i="50" s="1"/>
  <c r="P58" i="50"/>
  <c r="J28" i="50"/>
  <c r="O28" i="50" s="1"/>
  <c r="P29" i="50"/>
  <c r="D17" i="51"/>
  <c r="C5" i="51"/>
  <c r="E11" i="47"/>
  <c r="B9" i="62" s="1"/>
  <c r="E12" i="47"/>
  <c r="E10" i="47"/>
  <c r="D43" i="71" l="1"/>
  <c r="E43" i="71" s="1"/>
  <c r="F43" i="71" s="1"/>
  <c r="G43" i="71"/>
  <c r="H43" i="71" s="1"/>
  <c r="F40" i="72"/>
  <c r="D41" i="72" s="1"/>
  <c r="E41" i="72" s="1"/>
  <c r="E32" i="68"/>
  <c r="F32" i="68" s="1"/>
  <c r="C6" i="51"/>
  <c r="F36" i="50" s="1"/>
  <c r="B6" i="62"/>
  <c r="E58" i="78"/>
  <c r="F58" i="78" s="1"/>
  <c r="D59" i="78" s="1"/>
  <c r="C62" i="78"/>
  <c r="D42" i="83"/>
  <c r="E42" i="83" s="1"/>
  <c r="F42" i="83" s="1"/>
  <c r="C45" i="83"/>
  <c r="D41" i="79"/>
  <c r="E41" i="79" s="1"/>
  <c r="F41" i="79" s="1"/>
  <c r="C47" i="79"/>
  <c r="J44" i="73"/>
  <c r="K44" i="73" s="1"/>
  <c r="L44" i="73" s="1"/>
  <c r="I47" i="73"/>
  <c r="D47" i="73"/>
  <c r="E42" i="73"/>
  <c r="F42" i="73" s="1"/>
  <c r="G42" i="73" s="1"/>
  <c r="J47" i="72"/>
  <c r="K47" i="72" s="1"/>
  <c r="L47" i="72" s="1"/>
  <c r="I49" i="72"/>
  <c r="C46" i="72"/>
  <c r="C47" i="71"/>
  <c r="D40" i="69"/>
  <c r="E40" i="69" s="1"/>
  <c r="F40" i="69" s="1"/>
  <c r="C41" i="69"/>
  <c r="D33" i="68"/>
  <c r="E33" i="68" s="1"/>
  <c r="F33" i="68" s="1"/>
  <c r="E35" i="67"/>
  <c r="P131" i="63"/>
  <c r="O129" i="63" s="1"/>
  <c r="T129" i="63" s="1"/>
  <c r="P115" i="63"/>
  <c r="H35" i="67"/>
  <c r="C59" i="67"/>
  <c r="J45" i="67"/>
  <c r="L8" i="62"/>
  <c r="L10" i="62" s="1"/>
  <c r="J10" i="61" s="1"/>
  <c r="L9" i="62"/>
  <c r="C7" i="51"/>
  <c r="C10" i="51" s="1"/>
  <c r="I5" i="51" s="1"/>
  <c r="B8" i="62"/>
  <c r="B7" i="62"/>
  <c r="F9" i="50"/>
  <c r="F64" i="50"/>
  <c r="E35" i="50"/>
  <c r="O35" i="50" s="1"/>
  <c r="E63" i="50"/>
  <c r="O63" i="50" s="1"/>
  <c r="E7" i="50"/>
  <c r="D44" i="71" l="1"/>
  <c r="E44" i="71" s="1"/>
  <c r="F44" i="71" s="1"/>
  <c r="G44" i="71"/>
  <c r="H44" i="71" s="1"/>
  <c r="F41" i="72"/>
  <c r="D42" i="72" s="1"/>
  <c r="E42" i="72" s="1"/>
  <c r="O7" i="50"/>
  <c r="C17" i="51"/>
  <c r="C22" i="51" s="1"/>
  <c r="E9" i="61"/>
  <c r="O10" i="61" s="1"/>
  <c r="E57" i="61"/>
  <c r="F63" i="61" s="1"/>
  <c r="E35" i="61"/>
  <c r="F41" i="61" s="1"/>
  <c r="P42" i="61" s="1"/>
  <c r="E59" i="78"/>
  <c r="F59" i="78" s="1"/>
  <c r="D60" i="78" s="1"/>
  <c r="C63" i="78"/>
  <c r="D43" i="83"/>
  <c r="E43" i="83" s="1"/>
  <c r="F43" i="83" s="1"/>
  <c r="C46" i="83"/>
  <c r="D42" i="79"/>
  <c r="E42" i="79" s="1"/>
  <c r="F42" i="79" s="1"/>
  <c r="C48" i="79"/>
  <c r="E43" i="73"/>
  <c r="F43" i="73" s="1"/>
  <c r="G43" i="73" s="1"/>
  <c r="J45" i="73"/>
  <c r="K45" i="73" s="1"/>
  <c r="L45" i="73" s="1"/>
  <c r="D48" i="73"/>
  <c r="I48" i="73"/>
  <c r="J48" i="72"/>
  <c r="K48" i="72" s="1"/>
  <c r="L48" i="72" s="1"/>
  <c r="I50" i="72"/>
  <c r="C47" i="72"/>
  <c r="C48" i="71"/>
  <c r="D41" i="69"/>
  <c r="E41" i="69" s="1"/>
  <c r="F41" i="69" s="1"/>
  <c r="C42" i="69"/>
  <c r="D34" i="68"/>
  <c r="E34" i="68" s="1"/>
  <c r="F34" i="68" s="1"/>
  <c r="F35" i="67"/>
  <c r="P130" i="63"/>
  <c r="O128" i="63" s="1"/>
  <c r="T128" i="63" s="1"/>
  <c r="C60" i="67"/>
  <c r="J46" i="67"/>
  <c r="K19" i="62"/>
  <c r="O9" i="61"/>
  <c r="C30" i="62"/>
  <c r="C29" i="62"/>
  <c r="C21" i="62"/>
  <c r="E21" i="62" s="1"/>
  <c r="C25" i="62"/>
  <c r="C27" i="62"/>
  <c r="C23" i="62"/>
  <c r="C26" i="62"/>
  <c r="C24" i="62"/>
  <c r="C28" i="62"/>
  <c r="C22" i="62"/>
  <c r="L6" i="62"/>
  <c r="F19" i="51"/>
  <c r="C23" i="51"/>
  <c r="C20" i="51"/>
  <c r="C21" i="51"/>
  <c r="C28" i="51"/>
  <c r="C19" i="51"/>
  <c r="C27" i="51"/>
  <c r="P9" i="50"/>
  <c r="E15" i="50"/>
  <c r="P36" i="50"/>
  <c r="E43" i="50"/>
  <c r="I7" i="51"/>
  <c r="E8" i="50"/>
  <c r="O8" i="50" s="1"/>
  <c r="E71" i="50"/>
  <c r="P64" i="50"/>
  <c r="D45" i="71" l="1"/>
  <c r="E45" i="71" s="1"/>
  <c r="F45" i="71" s="1"/>
  <c r="G45" i="71"/>
  <c r="H45" i="71" s="1"/>
  <c r="C26" i="51"/>
  <c r="C25" i="51"/>
  <c r="C24" i="51"/>
  <c r="F42" i="72"/>
  <c r="D43" i="72" s="1"/>
  <c r="E43" i="72" s="1"/>
  <c r="E62" i="61"/>
  <c r="O62" i="61" s="1"/>
  <c r="P64" i="61"/>
  <c r="F19" i="61"/>
  <c r="K28" i="62"/>
  <c r="K25" i="62"/>
  <c r="K21" i="62"/>
  <c r="K20" i="61" s="1"/>
  <c r="K27" i="62"/>
  <c r="K26" i="62"/>
  <c r="K23" i="62"/>
  <c r="K64" i="61" s="1"/>
  <c r="P66" i="61" s="1"/>
  <c r="K30" i="62"/>
  <c r="K29" i="62"/>
  <c r="K22" i="62"/>
  <c r="K42" i="61" s="1"/>
  <c r="P44" i="61" s="1"/>
  <c r="K24" i="62"/>
  <c r="E40" i="61"/>
  <c r="O40" i="61" s="1"/>
  <c r="E60" i="78"/>
  <c r="F60" i="78" s="1"/>
  <c r="D61" i="78" s="1"/>
  <c r="C64" i="78"/>
  <c r="D44" i="83"/>
  <c r="E44" i="83" s="1"/>
  <c r="F44" i="83" s="1"/>
  <c r="C47" i="83"/>
  <c r="D43" i="79"/>
  <c r="E43" i="79" s="1"/>
  <c r="F43" i="79" s="1"/>
  <c r="C49" i="79"/>
  <c r="J46" i="73"/>
  <c r="K46" i="73" s="1"/>
  <c r="L46" i="73" s="1"/>
  <c r="E44" i="73"/>
  <c r="F44" i="73" s="1"/>
  <c r="G44" i="73" s="1"/>
  <c r="I49" i="73"/>
  <c r="D49" i="73"/>
  <c r="J49" i="72"/>
  <c r="K49" i="72" s="1"/>
  <c r="L49" i="72" s="1"/>
  <c r="I51" i="72"/>
  <c r="C48" i="72"/>
  <c r="C49" i="71"/>
  <c r="D42" i="69"/>
  <c r="E42" i="69" s="1"/>
  <c r="F42" i="69" s="1"/>
  <c r="C43" i="69"/>
  <c r="D35" i="68"/>
  <c r="E35" i="68" s="1"/>
  <c r="F35" i="68" s="1"/>
  <c r="D36" i="68" s="1"/>
  <c r="E36" i="68" s="1"/>
  <c r="F36" i="68" s="1"/>
  <c r="G36" i="67"/>
  <c r="D36" i="67"/>
  <c r="C61" i="67"/>
  <c r="J47" i="67"/>
  <c r="B14" i="62"/>
  <c r="F10" i="61" s="1"/>
  <c r="L5" i="62"/>
  <c r="L7" i="62" s="1"/>
  <c r="J9" i="61" s="1"/>
  <c r="O71" i="50"/>
  <c r="F74" i="50"/>
  <c r="P74" i="50" s="1"/>
  <c r="I16" i="51"/>
  <c r="F10" i="50"/>
  <c r="P10" i="50" s="1"/>
  <c r="F46" i="50"/>
  <c r="P46" i="50" s="1"/>
  <c r="O43" i="50"/>
  <c r="F18" i="50"/>
  <c r="P18" i="50" s="1"/>
  <c r="O15" i="50"/>
  <c r="M13" i="58"/>
  <c r="M12" i="58"/>
  <c r="N11" i="58"/>
  <c r="I11" i="58"/>
  <c r="I10" i="58"/>
  <c r="M9" i="58"/>
  <c r="M8" i="58"/>
  <c r="B5" i="59"/>
  <c r="N19" i="59"/>
  <c r="N20" i="59"/>
  <c r="N21" i="59"/>
  <c r="N22" i="59"/>
  <c r="N23" i="59"/>
  <c r="N24" i="59"/>
  <c r="N25" i="59"/>
  <c r="B19" i="59"/>
  <c r="D19" i="59"/>
  <c r="B20" i="59"/>
  <c r="B21" i="59"/>
  <c r="B22" i="59"/>
  <c r="B23" i="59"/>
  <c r="B24" i="59"/>
  <c r="B25" i="59"/>
  <c r="B26" i="59"/>
  <c r="M42" i="58"/>
  <c r="M41" i="58"/>
  <c r="N40" i="58"/>
  <c r="I40" i="58"/>
  <c r="I39" i="58"/>
  <c r="H38" i="58"/>
  <c r="M38" i="58" s="1"/>
  <c r="M33" i="58"/>
  <c r="N32" i="58"/>
  <c r="M31" i="58"/>
  <c r="M27" i="58"/>
  <c r="N25" i="58"/>
  <c r="N80" i="57"/>
  <c r="M79" i="57"/>
  <c r="M68" i="57"/>
  <c r="M67" i="57"/>
  <c r="N66" i="57"/>
  <c r="M65" i="57"/>
  <c r="M46" i="57"/>
  <c r="M45" i="57"/>
  <c r="M42" i="57"/>
  <c r="N44" i="57"/>
  <c r="N43" i="57"/>
  <c r="M41" i="57"/>
  <c r="N8" i="57"/>
  <c r="M12" i="57"/>
  <c r="M11" i="57"/>
  <c r="N10" i="57"/>
  <c r="N9" i="57"/>
  <c r="M7" i="57"/>
  <c r="M26" i="57"/>
  <c r="M25" i="57"/>
  <c r="N24" i="57"/>
  <c r="N51" i="57"/>
  <c r="N57" i="57"/>
  <c r="M56" i="57"/>
  <c r="N31" i="57"/>
  <c r="M30" i="57"/>
  <c r="C22" i="57"/>
  <c r="C49" i="57" s="1"/>
  <c r="M49" i="57" s="1"/>
  <c r="D46" i="71" l="1"/>
  <c r="E46" i="71" s="1"/>
  <c r="F46" i="71" s="1"/>
  <c r="G46" i="71"/>
  <c r="H46" i="71" s="1"/>
  <c r="F43" i="72"/>
  <c r="D44" i="72" s="1"/>
  <c r="E44" i="72" s="1"/>
  <c r="K16" i="62"/>
  <c r="I20" i="51"/>
  <c r="E44" i="50" s="1"/>
  <c r="I22" i="51"/>
  <c r="I21" i="51"/>
  <c r="I19" i="51"/>
  <c r="E16" i="50" s="1"/>
  <c r="I25" i="51"/>
  <c r="I27" i="51"/>
  <c r="I23" i="51"/>
  <c r="I24" i="51"/>
  <c r="I26" i="51"/>
  <c r="I28" i="51"/>
  <c r="P20" i="61"/>
  <c r="E18" i="61"/>
  <c r="O18" i="61" s="1"/>
  <c r="D17" i="59"/>
  <c r="E61" i="78"/>
  <c r="F61" i="78" s="1"/>
  <c r="D62" i="78" s="1"/>
  <c r="C65" i="78"/>
  <c r="D45" i="83"/>
  <c r="E45" i="83" s="1"/>
  <c r="F45" i="83" s="1"/>
  <c r="C48" i="83"/>
  <c r="D44" i="79"/>
  <c r="E44" i="79" s="1"/>
  <c r="F44" i="79" s="1"/>
  <c r="C50" i="79"/>
  <c r="J47" i="73"/>
  <c r="K47" i="73" s="1"/>
  <c r="L47" i="73" s="1"/>
  <c r="D50" i="73"/>
  <c r="I50" i="73"/>
  <c r="E45" i="73"/>
  <c r="F45" i="73" s="1"/>
  <c r="G45" i="73" s="1"/>
  <c r="J50" i="72"/>
  <c r="K50" i="72" s="1"/>
  <c r="L50" i="72" s="1"/>
  <c r="I52" i="72"/>
  <c r="C49" i="72"/>
  <c r="C50" i="71"/>
  <c r="D43" i="69"/>
  <c r="E43" i="69" s="1"/>
  <c r="F43" i="69" s="1"/>
  <c r="C44" i="69"/>
  <c r="D37" i="68"/>
  <c r="E37" i="68" s="1"/>
  <c r="F37" i="68" s="1"/>
  <c r="D38" i="68" s="1"/>
  <c r="E38" i="68" s="1"/>
  <c r="F38" i="68" s="1"/>
  <c r="D39" i="68" s="1"/>
  <c r="E39" i="68" s="1"/>
  <c r="F39" i="68" s="1"/>
  <c r="D40" i="68" s="1"/>
  <c r="E40" i="68" s="1"/>
  <c r="F40" i="68" s="1"/>
  <c r="D41" i="68" s="1"/>
  <c r="E41" i="68" s="1"/>
  <c r="F41" i="68" s="1"/>
  <c r="D42" i="68" s="1"/>
  <c r="E42" i="68" s="1"/>
  <c r="F42" i="68" s="1"/>
  <c r="D43" i="68" s="1"/>
  <c r="E43" i="68" s="1"/>
  <c r="F43" i="68" s="1"/>
  <c r="D44" i="68" s="1"/>
  <c r="E44" i="68" s="1"/>
  <c r="F44" i="68" s="1"/>
  <c r="D45" i="68" s="1"/>
  <c r="E45" i="68" s="1"/>
  <c r="F45" i="68" s="1"/>
  <c r="D46" i="68" s="1"/>
  <c r="H36" i="67"/>
  <c r="U152" i="63"/>
  <c r="E36" i="67"/>
  <c r="F36" i="67" s="1"/>
  <c r="P151" i="63"/>
  <c r="C62" i="67"/>
  <c r="J48" i="67"/>
  <c r="P22" i="61"/>
  <c r="L11" i="62"/>
  <c r="E8" i="61" s="1"/>
  <c r="J19" i="62"/>
  <c r="F21" i="62"/>
  <c r="D22" i="62" s="1"/>
  <c r="E34" i="61" s="1"/>
  <c r="M37" i="58"/>
  <c r="M22" i="57"/>
  <c r="M15" i="57"/>
  <c r="N16" i="57"/>
  <c r="M17" i="57"/>
  <c r="M18" i="57"/>
  <c r="M19" i="57"/>
  <c r="N9" i="2"/>
  <c r="N10" i="2"/>
  <c r="O19" i="2"/>
  <c r="S16" i="56"/>
  <c r="B19" i="56"/>
  <c r="D19" i="56"/>
  <c r="B20" i="56"/>
  <c r="B21" i="56"/>
  <c r="B22" i="56"/>
  <c r="B23" i="56"/>
  <c r="B24" i="56"/>
  <c r="B25" i="56"/>
  <c r="B26" i="56"/>
  <c r="B4" i="56"/>
  <c r="M37" i="57"/>
  <c r="N36" i="57"/>
  <c r="M35" i="57"/>
  <c r="O18" i="56"/>
  <c r="O17" i="56"/>
  <c r="B5" i="56"/>
  <c r="E5" i="7"/>
  <c r="M70" i="55"/>
  <c r="L69" i="55"/>
  <c r="L58" i="55"/>
  <c r="L57" i="55"/>
  <c r="M56" i="55"/>
  <c r="H56" i="55"/>
  <c r="H55" i="55"/>
  <c r="G54" i="55"/>
  <c r="L48" i="55"/>
  <c r="M47" i="55"/>
  <c r="L46" i="55"/>
  <c r="G30" i="55"/>
  <c r="L30" i="55" s="1"/>
  <c r="H33" i="55"/>
  <c r="H32" i="55"/>
  <c r="G31" i="55"/>
  <c r="L31" i="55" s="1"/>
  <c r="H11" i="55"/>
  <c r="G8" i="55"/>
  <c r="M11" i="55"/>
  <c r="M18" i="55"/>
  <c r="M10" i="55"/>
  <c r="B5" i="54"/>
  <c r="L35" i="55"/>
  <c r="L34" i="55"/>
  <c r="M33" i="55"/>
  <c r="M25" i="55"/>
  <c r="L24" i="55"/>
  <c r="L13" i="55"/>
  <c r="L12" i="55"/>
  <c r="A8" i="55"/>
  <c r="L8" i="55"/>
  <c r="G5" i="54"/>
  <c r="O11" i="55" s="1"/>
  <c r="B4" i="54"/>
  <c r="C17" i="54" s="1"/>
  <c r="C18" i="54" s="1"/>
  <c r="C19" i="54" s="1"/>
  <c r="C20" i="54" s="1"/>
  <c r="C21" i="54" s="1"/>
  <c r="C22" i="54" s="1"/>
  <c r="C23" i="54" s="1"/>
  <c r="C24" i="54" s="1"/>
  <c r="C25" i="54" s="1"/>
  <c r="C26" i="54" s="1"/>
  <c r="C27" i="54" s="1"/>
  <c r="C28" i="54" s="1"/>
  <c r="C29" i="54" s="1"/>
  <c r="C30" i="54" s="1"/>
  <c r="C31" i="54" s="1"/>
  <c r="C32" i="54" s="1"/>
  <c r="C33" i="54" s="1"/>
  <c r="C34" i="54" s="1"/>
  <c r="D68" i="2"/>
  <c r="H66" i="2" s="1"/>
  <c r="N69" i="2"/>
  <c r="M90" i="2"/>
  <c r="N89" i="2"/>
  <c r="M88" i="2"/>
  <c r="N84" i="2"/>
  <c r="M83" i="2"/>
  <c r="M79" i="2"/>
  <c r="M78" i="2"/>
  <c r="M71" i="2"/>
  <c r="M70" i="2"/>
  <c r="N40" i="2"/>
  <c r="B5" i="25"/>
  <c r="B4" i="25"/>
  <c r="D47" i="71" l="1"/>
  <c r="E47" i="71" s="1"/>
  <c r="F47" i="71" s="1"/>
  <c r="G47" i="71"/>
  <c r="H47" i="71" s="1"/>
  <c r="I13" i="51"/>
  <c r="F44" i="72"/>
  <c r="D45" i="72" s="1"/>
  <c r="E45" i="72" s="1"/>
  <c r="L19" i="62"/>
  <c r="J25" i="62"/>
  <c r="L25" i="62" s="1"/>
  <c r="J30" i="62"/>
  <c r="L30" i="62" s="1"/>
  <c r="J29" i="62"/>
  <c r="L29" i="62" s="1"/>
  <c r="H5" i="25"/>
  <c r="R35" i="25"/>
  <c r="H11" i="56" s="1"/>
  <c r="R29" i="56" s="1"/>
  <c r="B6" i="56"/>
  <c r="H26" i="56"/>
  <c r="K26" i="56" s="1"/>
  <c r="E7" i="57" s="1"/>
  <c r="O7" i="57" s="1"/>
  <c r="F10" i="7"/>
  <c r="F11" i="7" s="1"/>
  <c r="B4" i="59"/>
  <c r="C27" i="56"/>
  <c r="C28" i="56"/>
  <c r="D14" i="25"/>
  <c r="B6" i="25"/>
  <c r="H17" i="25"/>
  <c r="K17" i="25" s="1"/>
  <c r="E37" i="2" s="1"/>
  <c r="C17" i="25"/>
  <c r="C18" i="25" s="1"/>
  <c r="C19" i="25" s="1"/>
  <c r="C20" i="25" s="1"/>
  <c r="C21" i="25" s="1"/>
  <c r="C22" i="25" s="1"/>
  <c r="C23" i="25" s="1"/>
  <c r="C24" i="25" s="1"/>
  <c r="C25" i="25" s="1"/>
  <c r="C26" i="25" s="1"/>
  <c r="C27" i="25" s="1"/>
  <c r="C28" i="25" s="1"/>
  <c r="C29" i="25" s="1"/>
  <c r="C30" i="25" s="1"/>
  <c r="C31" i="25" s="1"/>
  <c r="C32" i="25" s="1"/>
  <c r="C33" i="25" s="1"/>
  <c r="C34" i="25" s="1"/>
  <c r="D14" i="54"/>
  <c r="B6" i="54"/>
  <c r="E62" i="78"/>
  <c r="F62" i="78" s="1"/>
  <c r="D63" i="78" s="1"/>
  <c r="C66" i="78"/>
  <c r="C49" i="83"/>
  <c r="D46" i="83"/>
  <c r="E46" i="83" s="1"/>
  <c r="F46" i="83" s="1"/>
  <c r="D45" i="79"/>
  <c r="E45" i="79" s="1"/>
  <c r="F45" i="79" s="1"/>
  <c r="C51" i="79"/>
  <c r="E46" i="73"/>
  <c r="F46" i="73" s="1"/>
  <c r="G46" i="73" s="1"/>
  <c r="J48" i="73"/>
  <c r="K48" i="73" s="1"/>
  <c r="L48" i="73" s="1"/>
  <c r="D51" i="73"/>
  <c r="I51" i="73"/>
  <c r="J51" i="72"/>
  <c r="K51" i="72" s="1"/>
  <c r="L51" i="72" s="1"/>
  <c r="I53" i="72"/>
  <c r="C50" i="72"/>
  <c r="C51" i="71"/>
  <c r="D44" i="69"/>
  <c r="E44" i="69" s="1"/>
  <c r="F44" i="69" s="1"/>
  <c r="C45" i="69"/>
  <c r="E46" i="68"/>
  <c r="F46" i="68" s="1"/>
  <c r="D47" i="68" s="1"/>
  <c r="U151" i="63"/>
  <c r="O150" i="63"/>
  <c r="T150" i="63" s="1"/>
  <c r="G37" i="67"/>
  <c r="H37" i="67" s="1"/>
  <c r="D37" i="67"/>
  <c r="E37" i="67" s="1"/>
  <c r="F37" i="67" s="1"/>
  <c r="H10" i="68"/>
  <c r="C63" i="67"/>
  <c r="J49" i="67"/>
  <c r="J22" i="62"/>
  <c r="J26" i="62"/>
  <c r="L26" i="62" s="1"/>
  <c r="J24" i="62"/>
  <c r="L24" i="62" s="1"/>
  <c r="J27" i="62"/>
  <c r="L27" i="62" s="1"/>
  <c r="J21" i="62"/>
  <c r="K19" i="61" s="1"/>
  <c r="J23" i="62"/>
  <c r="J28" i="62"/>
  <c r="L28" i="62" s="1"/>
  <c r="K28" i="61"/>
  <c r="E22" i="62"/>
  <c r="E33" i="61" s="1"/>
  <c r="L54" i="55"/>
  <c r="F45" i="50"/>
  <c r="P45" i="50" s="1"/>
  <c r="O44" i="50"/>
  <c r="F17" i="50"/>
  <c r="P17" i="50" s="1"/>
  <c r="O16" i="50"/>
  <c r="O48" i="56"/>
  <c r="O19" i="55"/>
  <c r="N9" i="55"/>
  <c r="P9" i="2"/>
  <c r="C16" i="54"/>
  <c r="P12" i="61"/>
  <c r="O49" i="56"/>
  <c r="O24" i="56"/>
  <c r="O37" i="56"/>
  <c r="O43" i="56"/>
  <c r="O41" i="56"/>
  <c r="O20" i="56"/>
  <c r="O29" i="56"/>
  <c r="J79" i="57" s="1"/>
  <c r="O33" i="56"/>
  <c r="O42" i="56"/>
  <c r="D17" i="56"/>
  <c r="O19" i="56"/>
  <c r="O23" i="56"/>
  <c r="O28" i="56"/>
  <c r="J56" i="57" s="1"/>
  <c r="O32" i="56"/>
  <c r="O36" i="56"/>
  <c r="O44" i="56"/>
  <c r="O39" i="56"/>
  <c r="O22" i="56"/>
  <c r="O27" i="56"/>
  <c r="J30" i="57" s="1"/>
  <c r="O35" i="56"/>
  <c r="O46" i="56"/>
  <c r="O40" i="56"/>
  <c r="O47" i="56"/>
  <c r="O45" i="56"/>
  <c r="O31" i="56"/>
  <c r="O21" i="56"/>
  <c r="O25" i="56"/>
  <c r="O30" i="56"/>
  <c r="O34" i="56"/>
  <c r="O38" i="56"/>
  <c r="G53" i="55"/>
  <c r="H39" i="55"/>
  <c r="E16" i="54"/>
  <c r="E19" i="59" s="1"/>
  <c r="M62" i="2"/>
  <c r="N61" i="2"/>
  <c r="M60" i="2"/>
  <c r="N56" i="2"/>
  <c r="M55" i="2"/>
  <c r="M50" i="2"/>
  <c r="M51" i="2"/>
  <c r="M11" i="2"/>
  <c r="M12" i="2"/>
  <c r="A8" i="2"/>
  <c r="O15" i="25"/>
  <c r="O14" i="25"/>
  <c r="C16" i="25"/>
  <c r="F13" i="8"/>
  <c r="D48" i="71" l="1"/>
  <c r="E48" i="71" s="1"/>
  <c r="F48" i="71" s="1"/>
  <c r="G48" i="71"/>
  <c r="H48" i="71" s="1"/>
  <c r="F45" i="72"/>
  <c r="D46" i="72" s="1"/>
  <c r="E46" i="72" s="1"/>
  <c r="J16" i="62"/>
  <c r="L23" i="62"/>
  <c r="J62" i="61" s="1"/>
  <c r="O63" i="61" s="1"/>
  <c r="K63" i="61"/>
  <c r="P65" i="61" s="1"/>
  <c r="B6" i="59"/>
  <c r="C27" i="59"/>
  <c r="H28" i="56"/>
  <c r="K28" i="56" s="1"/>
  <c r="E41" i="57" s="1"/>
  <c r="H28" i="59"/>
  <c r="F13" i="7"/>
  <c r="I17" i="25"/>
  <c r="L17" i="25" s="1"/>
  <c r="F40" i="2" s="1"/>
  <c r="H18" i="25"/>
  <c r="K18" i="25" s="1"/>
  <c r="E66" i="2" s="1"/>
  <c r="C19" i="59"/>
  <c r="E63" i="78"/>
  <c r="F63" i="78" s="1"/>
  <c r="D64" i="78" s="1"/>
  <c r="C67" i="78"/>
  <c r="D47" i="83"/>
  <c r="E47" i="83" s="1"/>
  <c r="F47" i="83" s="1"/>
  <c r="C50" i="83"/>
  <c r="D46" i="79"/>
  <c r="E46" i="79" s="1"/>
  <c r="F46" i="79" s="1"/>
  <c r="C52" i="79"/>
  <c r="J49" i="73"/>
  <c r="K49" i="73" s="1"/>
  <c r="L49" i="73" s="1"/>
  <c r="E47" i="73"/>
  <c r="F47" i="73" s="1"/>
  <c r="G47" i="73" s="1"/>
  <c r="D52" i="73"/>
  <c r="I52" i="73"/>
  <c r="I54" i="72"/>
  <c r="J52" i="72"/>
  <c r="K52" i="72" s="1"/>
  <c r="L52" i="72" s="1"/>
  <c r="C51" i="72"/>
  <c r="C52" i="71"/>
  <c r="D45" i="69"/>
  <c r="E45" i="69" s="1"/>
  <c r="F45" i="69" s="1"/>
  <c r="C46" i="69"/>
  <c r="E47" i="68"/>
  <c r="F47" i="68" s="1"/>
  <c r="D48" i="68" s="1"/>
  <c r="D38" i="67"/>
  <c r="E38" i="67" s="1"/>
  <c r="F38" i="67" s="1"/>
  <c r="G38" i="67"/>
  <c r="H38" i="67" s="1"/>
  <c r="C64" i="67"/>
  <c r="J50" i="67"/>
  <c r="F22" i="62"/>
  <c r="D23" i="62" s="1"/>
  <c r="I16" i="62"/>
  <c r="L21" i="62"/>
  <c r="J18" i="61" s="1"/>
  <c r="O19" i="61" s="1"/>
  <c r="L22" i="62"/>
  <c r="J40" i="61" s="1"/>
  <c r="O41" i="61" s="1"/>
  <c r="K41" i="61"/>
  <c r="P43" i="61" s="1"/>
  <c r="L53" i="55"/>
  <c r="C20" i="59"/>
  <c r="I17" i="54"/>
  <c r="L17" i="54" s="1"/>
  <c r="D32" i="55" s="1"/>
  <c r="C21" i="59"/>
  <c r="I18" i="54"/>
  <c r="L18" i="54" s="1"/>
  <c r="D55" i="55" s="1"/>
  <c r="F27" i="59"/>
  <c r="D28" i="59" s="1"/>
  <c r="J31" i="58" s="1"/>
  <c r="K39" i="58" s="1"/>
  <c r="O39" i="25"/>
  <c r="K80" i="57"/>
  <c r="P80" i="57" s="1"/>
  <c r="O79" i="57"/>
  <c r="C19" i="56"/>
  <c r="K57" i="57"/>
  <c r="P57" i="57" s="1"/>
  <c r="O56" i="57"/>
  <c r="K31" i="57"/>
  <c r="P31" i="57" s="1"/>
  <c r="O30" i="57"/>
  <c r="P36" i="61"/>
  <c r="O35" i="61"/>
  <c r="O33" i="55"/>
  <c r="C20" i="56"/>
  <c r="O14" i="56"/>
  <c r="M40" i="55"/>
  <c r="H63" i="55"/>
  <c r="C22" i="59"/>
  <c r="O37" i="25"/>
  <c r="O38" i="25"/>
  <c r="O42" i="25"/>
  <c r="O45" i="25"/>
  <c r="O44" i="25"/>
  <c r="O36" i="25"/>
  <c r="O43" i="25"/>
  <c r="O41" i="25"/>
  <c r="O40" i="25"/>
  <c r="D49" i="71" l="1"/>
  <c r="E49" i="71" s="1"/>
  <c r="F49" i="71" s="1"/>
  <c r="G49" i="71"/>
  <c r="H49" i="71" s="1"/>
  <c r="F46" i="72"/>
  <c r="D47" i="72" s="1"/>
  <c r="E47" i="72" s="1"/>
  <c r="E23" i="62"/>
  <c r="J49" i="61"/>
  <c r="E56" i="61"/>
  <c r="L16" i="62"/>
  <c r="I18" i="25"/>
  <c r="L18" i="25" s="1"/>
  <c r="F69" i="2" s="1"/>
  <c r="E76" i="2" s="1"/>
  <c r="O76" i="2" s="1"/>
  <c r="H29" i="59"/>
  <c r="K28" i="59"/>
  <c r="F40" i="58" s="1"/>
  <c r="P40" i="58" s="1"/>
  <c r="C28" i="59"/>
  <c r="I28" i="59" s="1"/>
  <c r="L28" i="59" s="1"/>
  <c r="H26" i="59"/>
  <c r="K26" i="59" s="1"/>
  <c r="F11" i="58" s="1"/>
  <c r="P11" i="58" s="1"/>
  <c r="I28" i="56"/>
  <c r="L28" i="56" s="1"/>
  <c r="C68" i="78"/>
  <c r="E64" i="78"/>
  <c r="F64" i="78" s="1"/>
  <c r="D65" i="78" s="1"/>
  <c r="D48" i="83"/>
  <c r="E48" i="83" s="1"/>
  <c r="F48" i="83" s="1"/>
  <c r="C51" i="83"/>
  <c r="D47" i="79"/>
  <c r="E47" i="79" s="1"/>
  <c r="F47" i="79" s="1"/>
  <c r="C53" i="79"/>
  <c r="E48" i="73"/>
  <c r="F48" i="73" s="1"/>
  <c r="G48" i="73" s="1"/>
  <c r="J50" i="73"/>
  <c r="K50" i="73" s="1"/>
  <c r="L50" i="73" s="1"/>
  <c r="I53" i="73"/>
  <c r="D53" i="73"/>
  <c r="J53" i="72"/>
  <c r="K53" i="72" s="1"/>
  <c r="L53" i="72" s="1"/>
  <c r="I55" i="72"/>
  <c r="C52" i="72"/>
  <c r="C53" i="71"/>
  <c r="D46" i="69"/>
  <c r="C47" i="69"/>
  <c r="E46" i="69"/>
  <c r="F46" i="69" s="1"/>
  <c r="E48" i="68"/>
  <c r="F48" i="68" s="1"/>
  <c r="D49" i="68" s="1"/>
  <c r="G39" i="67"/>
  <c r="H39" i="67" s="1"/>
  <c r="D39" i="67"/>
  <c r="E39" i="67" s="1"/>
  <c r="F39" i="67" s="1"/>
  <c r="C65" i="67"/>
  <c r="J51" i="67"/>
  <c r="M63" i="55"/>
  <c r="H86" i="55"/>
  <c r="M87" i="55" s="1"/>
  <c r="E38" i="58"/>
  <c r="O31" i="58"/>
  <c r="K32" i="58"/>
  <c r="P32" i="58" s="1"/>
  <c r="O66" i="2"/>
  <c r="O41" i="57"/>
  <c r="N32" i="55"/>
  <c r="E39" i="55"/>
  <c r="O57" i="61"/>
  <c r="P58" i="61"/>
  <c r="O56" i="55"/>
  <c r="J83" i="2"/>
  <c r="C21" i="56"/>
  <c r="C23" i="59"/>
  <c r="D19" i="51"/>
  <c r="E19" i="51" s="1"/>
  <c r="D50" i="71" l="1"/>
  <c r="E50" i="71" s="1"/>
  <c r="F50" i="71" s="1"/>
  <c r="G50" i="71"/>
  <c r="H50" i="71" s="1"/>
  <c r="F47" i="72"/>
  <c r="D48" i="72" s="1"/>
  <c r="E48" i="72" s="1"/>
  <c r="E42" i="57"/>
  <c r="O42" i="57" s="1"/>
  <c r="F23" i="62"/>
  <c r="D24" i="62" s="1"/>
  <c r="E55" i="61"/>
  <c r="E45" i="58"/>
  <c r="P39" i="58"/>
  <c r="I29" i="59"/>
  <c r="L29" i="59" s="1"/>
  <c r="E58" i="58" s="1"/>
  <c r="O58" i="58" s="1"/>
  <c r="K29" i="59"/>
  <c r="F59" i="58" s="1"/>
  <c r="P59" i="58" s="1"/>
  <c r="E65" i="57"/>
  <c r="O65" i="57" s="1"/>
  <c r="L29" i="56"/>
  <c r="F66" i="57" s="1"/>
  <c r="P66" i="57" s="1"/>
  <c r="E65" i="78"/>
  <c r="F65" i="78" s="1"/>
  <c r="D66" i="78" s="1"/>
  <c r="C69" i="78"/>
  <c r="D49" i="83"/>
  <c r="E49" i="83" s="1"/>
  <c r="F49" i="83" s="1"/>
  <c r="C52" i="83"/>
  <c r="D48" i="79"/>
  <c r="E48" i="79" s="1"/>
  <c r="F48" i="79" s="1"/>
  <c r="C54" i="79"/>
  <c r="J51" i="73"/>
  <c r="K51" i="73" s="1"/>
  <c r="L51" i="73" s="1"/>
  <c r="E49" i="73"/>
  <c r="F49" i="73" s="1"/>
  <c r="G49" i="73" s="1"/>
  <c r="D54" i="73"/>
  <c r="I54" i="73"/>
  <c r="J54" i="72"/>
  <c r="K54" i="72" s="1"/>
  <c r="L54" i="72" s="1"/>
  <c r="I56" i="72"/>
  <c r="C53" i="72"/>
  <c r="C54" i="71"/>
  <c r="D47" i="69"/>
  <c r="E47" i="69" s="1"/>
  <c r="F47" i="69" s="1"/>
  <c r="C48" i="69"/>
  <c r="E49" i="68"/>
  <c r="F49" i="68" s="1"/>
  <c r="D50" i="68" s="1"/>
  <c r="G40" i="67"/>
  <c r="H40" i="67" s="1"/>
  <c r="D40" i="67"/>
  <c r="E40" i="67" s="1"/>
  <c r="F40" i="67" s="1"/>
  <c r="C66" i="67"/>
  <c r="J52" i="67"/>
  <c r="J38" i="58"/>
  <c r="O38" i="58" s="1"/>
  <c r="N55" i="55"/>
  <c r="E63" i="55"/>
  <c r="D38" i="55"/>
  <c r="N38" i="55" s="1"/>
  <c r="O41" i="55"/>
  <c r="O83" i="2"/>
  <c r="K84" i="2"/>
  <c r="P84" i="2" s="1"/>
  <c r="C22" i="56"/>
  <c r="C24" i="59"/>
  <c r="F50" i="57" l="1"/>
  <c r="P50" i="57" s="1"/>
  <c r="D51" i="71"/>
  <c r="E51" i="71" s="1"/>
  <c r="F51" i="71" s="1"/>
  <c r="G51" i="71"/>
  <c r="H51" i="71" s="1"/>
  <c r="F48" i="72"/>
  <c r="D49" i="72" s="1"/>
  <c r="E49" i="72" s="1"/>
  <c r="E24" i="62"/>
  <c r="F24" i="62" s="1"/>
  <c r="D25" i="62" s="1"/>
  <c r="E25" i="62" s="1"/>
  <c r="F25" i="62" s="1"/>
  <c r="D26" i="62" s="1"/>
  <c r="E26" i="62" s="1"/>
  <c r="F26" i="62" s="1"/>
  <c r="D27" i="62" s="1"/>
  <c r="E27" i="62" s="1"/>
  <c r="F27" i="62" s="1"/>
  <c r="D28" i="62" s="1"/>
  <c r="E28" i="62" s="1"/>
  <c r="F28" i="62" s="1"/>
  <c r="D29" i="62" s="1"/>
  <c r="E29" i="62" s="1"/>
  <c r="F29" i="62" s="1"/>
  <c r="D30" i="62" s="1"/>
  <c r="E30" i="62" s="1"/>
  <c r="F30" i="62" s="1"/>
  <c r="J71" i="61"/>
  <c r="F67" i="58"/>
  <c r="P69" i="58" s="1"/>
  <c r="E71" i="57"/>
  <c r="F46" i="58"/>
  <c r="P47" i="58" s="1"/>
  <c r="O46" i="58"/>
  <c r="E66" i="78"/>
  <c r="F66" i="78" s="1"/>
  <c r="D67" i="78" s="1"/>
  <c r="C70" i="78"/>
  <c r="D50" i="83"/>
  <c r="E50" i="83" s="1"/>
  <c r="F50" i="83" s="1"/>
  <c r="C53" i="83"/>
  <c r="D49" i="79"/>
  <c r="E49" i="79" s="1"/>
  <c r="F49" i="79" s="1"/>
  <c r="C55" i="79"/>
  <c r="D55" i="73"/>
  <c r="E50" i="73"/>
  <c r="F50" i="73" s="1"/>
  <c r="G50" i="73" s="1"/>
  <c r="I55" i="73"/>
  <c r="J52" i="73"/>
  <c r="K52" i="73" s="1"/>
  <c r="L52" i="73" s="1"/>
  <c r="J55" i="72"/>
  <c r="K55" i="72" s="1"/>
  <c r="L55" i="72" s="1"/>
  <c r="I57" i="72"/>
  <c r="C54" i="72"/>
  <c r="C55" i="71"/>
  <c r="D48" i="69"/>
  <c r="E48" i="69" s="1"/>
  <c r="F48" i="69" s="1"/>
  <c r="C49" i="69"/>
  <c r="E50" i="68"/>
  <c r="F50" i="68" s="1"/>
  <c r="D51" i="68" s="1"/>
  <c r="D41" i="67"/>
  <c r="G41" i="67"/>
  <c r="H41" i="67" s="1"/>
  <c r="C67" i="67"/>
  <c r="J53" i="67"/>
  <c r="D62" i="55"/>
  <c r="N61" i="55" s="1"/>
  <c r="O64" i="55"/>
  <c r="C23" i="56"/>
  <c r="C25" i="59"/>
  <c r="O71" i="57" l="1"/>
  <c r="F73" i="57"/>
  <c r="D52" i="71"/>
  <c r="E52" i="71" s="1"/>
  <c r="F52" i="71" s="1"/>
  <c r="G52" i="71"/>
  <c r="H52" i="71" s="1"/>
  <c r="F49" i="72"/>
  <c r="D50" i="72" s="1"/>
  <c r="E50" i="72" s="1"/>
  <c r="E66" i="58"/>
  <c r="O66" i="58" s="1"/>
  <c r="E67" i="78"/>
  <c r="F67" i="78" s="1"/>
  <c r="D68" i="78" s="1"/>
  <c r="C71" i="78"/>
  <c r="C54" i="83"/>
  <c r="D51" i="83"/>
  <c r="E51" i="83" s="1"/>
  <c r="F51" i="83" s="1"/>
  <c r="D50" i="79"/>
  <c r="E50" i="79" s="1"/>
  <c r="F50" i="79" s="1"/>
  <c r="C56" i="79"/>
  <c r="E51" i="73"/>
  <c r="F51" i="73" s="1"/>
  <c r="G51" i="73" s="1"/>
  <c r="J53" i="73"/>
  <c r="K53" i="73" s="1"/>
  <c r="L53" i="73" s="1"/>
  <c r="D56" i="73"/>
  <c r="I56" i="73"/>
  <c r="J56" i="72"/>
  <c r="K56" i="72" s="1"/>
  <c r="L56" i="72" s="1"/>
  <c r="I58" i="72"/>
  <c r="C55" i="72"/>
  <c r="C56" i="71"/>
  <c r="D49" i="69"/>
  <c r="E49" i="69" s="1"/>
  <c r="F49" i="69" s="1"/>
  <c r="C50" i="69"/>
  <c r="E51" i="68"/>
  <c r="F51" i="68" s="1"/>
  <c r="D52" i="68" s="1"/>
  <c r="E41" i="67"/>
  <c r="P169" i="63"/>
  <c r="O167" i="63" s="1"/>
  <c r="T167" i="63" s="1"/>
  <c r="C68" i="67"/>
  <c r="J54" i="67"/>
  <c r="C24" i="56"/>
  <c r="C26" i="59"/>
  <c r="D53" i="71" l="1"/>
  <c r="E53" i="71" s="1"/>
  <c r="F53" i="71" s="1"/>
  <c r="G53" i="71"/>
  <c r="H53" i="71" s="1"/>
  <c r="F50" i="72"/>
  <c r="D51" i="72" s="1"/>
  <c r="E51" i="72" s="1"/>
  <c r="E68" i="78"/>
  <c r="F68" i="78" s="1"/>
  <c r="D69" i="78" s="1"/>
  <c r="C72" i="78"/>
  <c r="D52" i="83"/>
  <c r="E52" i="83" s="1"/>
  <c r="F52" i="83" s="1"/>
  <c r="C55" i="83"/>
  <c r="D51" i="79"/>
  <c r="E51" i="79" s="1"/>
  <c r="F51" i="79" s="1"/>
  <c r="C57" i="79"/>
  <c r="I57" i="73"/>
  <c r="D57" i="73"/>
  <c r="J54" i="73"/>
  <c r="K54" i="73" s="1"/>
  <c r="L54" i="73" s="1"/>
  <c r="E52" i="73"/>
  <c r="F52" i="73" s="1"/>
  <c r="G52" i="73" s="1"/>
  <c r="J57" i="72"/>
  <c r="K57" i="72" s="1"/>
  <c r="L57" i="72" s="1"/>
  <c r="I59" i="72"/>
  <c r="C56" i="72"/>
  <c r="C57" i="71"/>
  <c r="D50" i="69"/>
  <c r="E50" i="69" s="1"/>
  <c r="F50" i="69" s="1"/>
  <c r="C51" i="69"/>
  <c r="E52" i="68"/>
  <c r="F52" i="68" s="1"/>
  <c r="D53" i="68" s="1"/>
  <c r="F41" i="67"/>
  <c r="P168" i="63"/>
  <c r="O166" i="63" s="1"/>
  <c r="T166" i="63" s="1"/>
  <c r="C69" i="67"/>
  <c r="J55" i="67"/>
  <c r="I26" i="59"/>
  <c r="L26" i="59" s="1"/>
  <c r="E10" i="58" s="1"/>
  <c r="O10" i="58" s="1"/>
  <c r="D20" i="51"/>
  <c r="C25" i="56"/>
  <c r="D54" i="71" l="1"/>
  <c r="E54" i="71" s="1"/>
  <c r="F54" i="71" s="1"/>
  <c r="G54" i="71"/>
  <c r="H54" i="71" s="1"/>
  <c r="F51" i="72"/>
  <c r="D52" i="72" s="1"/>
  <c r="E52" i="72" s="1"/>
  <c r="E69" i="78"/>
  <c r="F69" i="78" s="1"/>
  <c r="D70" i="78" s="1"/>
  <c r="C73" i="78"/>
  <c r="D53" i="83"/>
  <c r="E53" i="83" s="1"/>
  <c r="F53" i="83" s="1"/>
  <c r="C56" i="83"/>
  <c r="D52" i="79"/>
  <c r="E52" i="79" s="1"/>
  <c r="F52" i="79" s="1"/>
  <c r="C58" i="79"/>
  <c r="E53" i="73"/>
  <c r="F53" i="73" s="1"/>
  <c r="G53" i="73" s="1"/>
  <c r="J55" i="73"/>
  <c r="K55" i="73" s="1"/>
  <c r="L55" i="73" s="1"/>
  <c r="D58" i="73"/>
  <c r="I58" i="73"/>
  <c r="J58" i="72"/>
  <c r="K58" i="72" s="1"/>
  <c r="L58" i="72" s="1"/>
  <c r="I60" i="72"/>
  <c r="C57" i="72"/>
  <c r="C58" i="71"/>
  <c r="D51" i="69"/>
  <c r="E51" i="69" s="1"/>
  <c r="F51" i="69" s="1"/>
  <c r="C52" i="69"/>
  <c r="E53" i="68"/>
  <c r="F53" i="68" s="1"/>
  <c r="D54" i="68" s="1"/>
  <c r="G42" i="67"/>
  <c r="H42" i="67" s="1"/>
  <c r="D42" i="67"/>
  <c r="E42" i="67" s="1"/>
  <c r="F42" i="67" s="1"/>
  <c r="L5" i="67"/>
  <c r="L13" i="67" s="1"/>
  <c r="M15" i="67" s="1"/>
  <c r="C70" i="67"/>
  <c r="J56" i="67"/>
  <c r="F37" i="50"/>
  <c r="J35" i="50" s="1"/>
  <c r="K24" i="50"/>
  <c r="F24" i="58"/>
  <c r="E23" i="58" s="1"/>
  <c r="O23" i="58" s="1"/>
  <c r="E20" i="51"/>
  <c r="F38" i="50" s="1"/>
  <c r="P38" i="50" s="1"/>
  <c r="E72" i="50"/>
  <c r="C26" i="56"/>
  <c r="I26" i="56" s="1"/>
  <c r="L26" i="56" s="1"/>
  <c r="F10" i="57" s="1"/>
  <c r="D55" i="71" l="1"/>
  <c r="E55" i="71" s="1"/>
  <c r="F55" i="71" s="1"/>
  <c r="G55" i="71"/>
  <c r="H55" i="71" s="1"/>
  <c r="F52" i="72"/>
  <c r="D53" i="72" s="1"/>
  <c r="E53" i="72" s="1"/>
  <c r="E70" i="78"/>
  <c r="F70" i="78" s="1"/>
  <c r="D71" i="78" s="1"/>
  <c r="C74" i="78"/>
  <c r="D54" i="83"/>
  <c r="E54" i="83" s="1"/>
  <c r="F54" i="83" s="1"/>
  <c r="C57" i="83"/>
  <c r="C59" i="79"/>
  <c r="D53" i="79"/>
  <c r="E53" i="79" s="1"/>
  <c r="F53" i="79" s="1"/>
  <c r="J56" i="73"/>
  <c r="K56" i="73" s="1"/>
  <c r="L56" i="73" s="1"/>
  <c r="E54" i="73"/>
  <c r="F54" i="73" s="1"/>
  <c r="G54" i="73" s="1"/>
  <c r="I59" i="73"/>
  <c r="D59" i="73"/>
  <c r="J59" i="72"/>
  <c r="K59" i="72" s="1"/>
  <c r="L59" i="72" s="1"/>
  <c r="I61" i="72"/>
  <c r="C58" i="72"/>
  <c r="C59" i="71"/>
  <c r="D52" i="69"/>
  <c r="E52" i="69" s="1"/>
  <c r="F52" i="69" s="1"/>
  <c r="C53" i="69"/>
  <c r="E54" i="68"/>
  <c r="F54" i="68" s="1"/>
  <c r="D55" i="68" s="1"/>
  <c r="L6" i="67"/>
  <c r="M7" i="67" s="1"/>
  <c r="G43" i="67"/>
  <c r="H43" i="67" s="1"/>
  <c r="D43" i="67"/>
  <c r="E43" i="67" s="1"/>
  <c r="F43" i="67" s="1"/>
  <c r="C71" i="67"/>
  <c r="J57" i="67"/>
  <c r="F73" i="50"/>
  <c r="P73" i="50" s="1"/>
  <c r="O72" i="50"/>
  <c r="P24" i="50"/>
  <c r="J23" i="50"/>
  <c r="P26" i="58"/>
  <c r="P10" i="57"/>
  <c r="E23" i="57"/>
  <c r="O23" i="57" s="1"/>
  <c r="F20" i="51"/>
  <c r="D56" i="71" l="1"/>
  <c r="E56" i="71" s="1"/>
  <c r="F56" i="71" s="1"/>
  <c r="G56" i="71"/>
  <c r="H56" i="71" s="1"/>
  <c r="F53" i="72"/>
  <c r="D54" i="72" s="1"/>
  <c r="E54" i="72" s="1"/>
  <c r="H4" i="25"/>
  <c r="I35" i="25"/>
  <c r="L35" i="25" s="1"/>
  <c r="F97" i="2" s="1"/>
  <c r="P97" i="2" s="1"/>
  <c r="E71" i="78"/>
  <c r="F71" i="78" s="1"/>
  <c r="D72" i="78" s="1"/>
  <c r="C75" i="78"/>
  <c r="D55" i="83"/>
  <c r="E55" i="83" s="1"/>
  <c r="F55" i="83" s="1"/>
  <c r="C58" i="83"/>
  <c r="D54" i="79"/>
  <c r="E54" i="79" s="1"/>
  <c r="F54" i="79" s="1"/>
  <c r="C60" i="79"/>
  <c r="E55" i="73"/>
  <c r="F55" i="73" s="1"/>
  <c r="G55" i="73" s="1"/>
  <c r="D60" i="73"/>
  <c r="I60" i="73"/>
  <c r="J57" i="73"/>
  <c r="K57" i="73" s="1"/>
  <c r="L57" i="73" s="1"/>
  <c r="J60" i="72"/>
  <c r="K60" i="72" s="1"/>
  <c r="L60" i="72" s="1"/>
  <c r="I62" i="72"/>
  <c r="C59" i="72"/>
  <c r="C60" i="71"/>
  <c r="D53" i="69"/>
  <c r="C54" i="69"/>
  <c r="E53" i="69"/>
  <c r="F53" i="69" s="1"/>
  <c r="M10" i="67"/>
  <c r="M12" i="67"/>
  <c r="M16" i="67" s="1"/>
  <c r="M23" i="67"/>
  <c r="N24" i="67" s="1"/>
  <c r="E55" i="68"/>
  <c r="F55" i="68" s="1"/>
  <c r="D56" i="68" s="1"/>
  <c r="D44" i="67"/>
  <c r="E44" i="67" s="1"/>
  <c r="F44" i="67" s="1"/>
  <c r="G44" i="67"/>
  <c r="H44" i="67" s="1"/>
  <c r="M30" i="67"/>
  <c r="O174" i="63"/>
  <c r="J58" i="67"/>
  <c r="O23" i="50"/>
  <c r="K36" i="50"/>
  <c r="P37" i="50" s="1"/>
  <c r="D21" i="51"/>
  <c r="F27" i="56"/>
  <c r="H6" i="68" l="1"/>
  <c r="H19" i="68" s="1"/>
  <c r="H6" i="69"/>
  <c r="D57" i="71"/>
  <c r="E57" i="71" s="1"/>
  <c r="F57" i="71" s="1"/>
  <c r="G57" i="71"/>
  <c r="H57" i="71" s="1"/>
  <c r="F54" i="72"/>
  <c r="D55" i="72" s="1"/>
  <c r="E55" i="72" s="1"/>
  <c r="F16" i="25"/>
  <c r="F19" i="56" s="1"/>
  <c r="E103" i="2"/>
  <c r="O103" i="2" s="1"/>
  <c r="E72" i="78"/>
  <c r="F72" i="78" s="1"/>
  <c r="D73" i="78" s="1"/>
  <c r="C76" i="78"/>
  <c r="D56" i="83"/>
  <c r="E56" i="83" s="1"/>
  <c r="F56" i="83" s="1"/>
  <c r="C59" i="83"/>
  <c r="D55" i="79"/>
  <c r="E55" i="79" s="1"/>
  <c r="F55" i="79" s="1"/>
  <c r="C61" i="79"/>
  <c r="J58" i="73"/>
  <c r="K58" i="73" s="1"/>
  <c r="L58" i="73" s="1"/>
  <c r="E56" i="73"/>
  <c r="F56" i="73" s="1"/>
  <c r="G56" i="73" s="1"/>
  <c r="D61" i="73"/>
  <c r="I61" i="73"/>
  <c r="J61" i="72"/>
  <c r="K61" i="72" s="1"/>
  <c r="L61" i="72" s="1"/>
  <c r="I63" i="72"/>
  <c r="C60" i="72"/>
  <c r="C61" i="71"/>
  <c r="D54" i="69"/>
  <c r="E54" i="69" s="1"/>
  <c r="F54" i="69" s="1"/>
  <c r="C55" i="69"/>
  <c r="Q30" i="67"/>
  <c r="T175" i="63"/>
  <c r="P42" i="67"/>
  <c r="E56" i="68"/>
  <c r="F56" i="68" s="1"/>
  <c r="D57" i="68" s="1"/>
  <c r="D45" i="67"/>
  <c r="E45" i="67" s="1"/>
  <c r="F45" i="67" s="1"/>
  <c r="G45" i="67"/>
  <c r="H45" i="67" s="1"/>
  <c r="U116" i="63"/>
  <c r="J59" i="67"/>
  <c r="K52" i="50"/>
  <c r="F65" i="50"/>
  <c r="J63" i="50" s="1"/>
  <c r="E21" i="51"/>
  <c r="F66" i="50" s="1"/>
  <c r="D28" i="56"/>
  <c r="H9" i="68" l="1"/>
  <c r="H20" i="69"/>
  <c r="H9" i="69"/>
  <c r="D58" i="71"/>
  <c r="E58" i="71" s="1"/>
  <c r="F58" i="71" s="1"/>
  <c r="G58" i="71"/>
  <c r="H58" i="71" s="1"/>
  <c r="F55" i="72"/>
  <c r="D56" i="72" s="1"/>
  <c r="E56" i="72" s="1"/>
  <c r="Q42" i="67"/>
  <c r="P211" i="63"/>
  <c r="O208" i="63" s="1"/>
  <c r="P66" i="50"/>
  <c r="E88" i="50"/>
  <c r="C77" i="78"/>
  <c r="E73" i="78"/>
  <c r="F73" i="78" s="1"/>
  <c r="D74" i="78" s="1"/>
  <c r="D57" i="83"/>
  <c r="E57" i="83" s="1"/>
  <c r="F57" i="83" s="1"/>
  <c r="C60" i="83"/>
  <c r="D56" i="79"/>
  <c r="E56" i="79" s="1"/>
  <c r="F56" i="79" s="1"/>
  <c r="C62" i="79"/>
  <c r="E57" i="73"/>
  <c r="F57" i="73" s="1"/>
  <c r="G57" i="73" s="1"/>
  <c r="J59" i="73"/>
  <c r="K59" i="73" s="1"/>
  <c r="L59" i="73" s="1"/>
  <c r="I62" i="73"/>
  <c r="D62" i="73"/>
  <c r="J62" i="72"/>
  <c r="K62" i="72" s="1"/>
  <c r="L62" i="72" s="1"/>
  <c r="I64" i="72"/>
  <c r="C61" i="72"/>
  <c r="C62" i="71"/>
  <c r="D55" i="69"/>
  <c r="E55" i="69" s="1"/>
  <c r="F55" i="69" s="1"/>
  <c r="C56" i="69"/>
  <c r="K19" i="68"/>
  <c r="I31" i="68" s="1"/>
  <c r="H11" i="68"/>
  <c r="O182" i="63" s="1"/>
  <c r="T182" i="63" s="1"/>
  <c r="H60" i="68"/>
  <c r="H48" i="68"/>
  <c r="H50" i="68"/>
  <c r="H52" i="68"/>
  <c r="H58" i="68"/>
  <c r="H41" i="68"/>
  <c r="H45" i="68"/>
  <c r="H47" i="68"/>
  <c r="H53" i="68"/>
  <c r="H38" i="68"/>
  <c r="H61" i="68"/>
  <c r="H56" i="68"/>
  <c r="H31" i="68"/>
  <c r="J217" i="63" s="1"/>
  <c r="H33" i="68"/>
  <c r="H37" i="68"/>
  <c r="H62" i="68"/>
  <c r="H35" i="68"/>
  <c r="H43" i="68"/>
  <c r="H51" i="68"/>
  <c r="H34" i="68"/>
  <c r="H44" i="68"/>
  <c r="H39" i="68"/>
  <c r="H57" i="68"/>
  <c r="H36" i="68"/>
  <c r="H54" i="68"/>
  <c r="H49" i="68"/>
  <c r="H55" i="68"/>
  <c r="H59" i="68"/>
  <c r="H32" i="68"/>
  <c r="H46" i="68"/>
  <c r="H40" i="68"/>
  <c r="H42" i="68"/>
  <c r="E57" i="68"/>
  <c r="F57" i="68" s="1"/>
  <c r="D58" i="68" s="1"/>
  <c r="D46" i="67"/>
  <c r="E46" i="67" s="1"/>
  <c r="F46" i="67" s="1"/>
  <c r="G46" i="67"/>
  <c r="H46" i="67" s="1"/>
  <c r="O114" i="63"/>
  <c r="U115" i="63"/>
  <c r="J60" i="67"/>
  <c r="P52" i="50"/>
  <c r="J51" i="50"/>
  <c r="F21" i="51"/>
  <c r="K36" i="57"/>
  <c r="J35" i="57" s="1"/>
  <c r="F43" i="57"/>
  <c r="J41" i="57" s="1"/>
  <c r="K42" i="57" s="1"/>
  <c r="P44" i="57" s="1"/>
  <c r="H56" i="69" l="1"/>
  <c r="H35" i="69"/>
  <c r="H63" i="69"/>
  <c r="H34" i="69"/>
  <c r="H45" i="69"/>
  <c r="H55" i="69"/>
  <c r="H60" i="69"/>
  <c r="H42" i="69"/>
  <c r="H37" i="69"/>
  <c r="H40" i="69"/>
  <c r="H57" i="69"/>
  <c r="H62" i="69"/>
  <c r="H51" i="69"/>
  <c r="H53" i="69"/>
  <c r="H54" i="69"/>
  <c r="H32" i="69"/>
  <c r="H36" i="69"/>
  <c r="H47" i="69"/>
  <c r="H44" i="69"/>
  <c r="H49" i="69"/>
  <c r="H59" i="69"/>
  <c r="H39" i="69"/>
  <c r="H58" i="69"/>
  <c r="H46" i="69"/>
  <c r="H48" i="69"/>
  <c r="H52" i="69"/>
  <c r="H61" i="69"/>
  <c r="H41" i="69"/>
  <c r="H50" i="69"/>
  <c r="H33" i="69"/>
  <c r="H43" i="69"/>
  <c r="H38" i="69"/>
  <c r="K20" i="69"/>
  <c r="H12" i="69"/>
  <c r="D59" i="71"/>
  <c r="E59" i="71" s="1"/>
  <c r="F59" i="71" s="1"/>
  <c r="G59" i="71"/>
  <c r="H59" i="71" s="1"/>
  <c r="F56" i="72"/>
  <c r="D57" i="72" s="1"/>
  <c r="E57" i="72" s="1"/>
  <c r="O217" i="63"/>
  <c r="J31" i="68"/>
  <c r="K218" i="63" s="1"/>
  <c r="E74" i="78"/>
  <c r="F74" i="78" s="1"/>
  <c r="D75" i="78" s="1"/>
  <c r="C78" i="78"/>
  <c r="D58" i="83"/>
  <c r="E58" i="83" s="1"/>
  <c r="F58" i="83" s="1"/>
  <c r="C61" i="83"/>
  <c r="C63" i="79"/>
  <c r="D57" i="79"/>
  <c r="E57" i="79" s="1"/>
  <c r="F57" i="79" s="1"/>
  <c r="J60" i="73"/>
  <c r="K60" i="73" s="1"/>
  <c r="L60" i="73" s="1"/>
  <c r="I63" i="73"/>
  <c r="D63" i="73"/>
  <c r="E58" i="73"/>
  <c r="F58" i="73" s="1"/>
  <c r="G58" i="73" s="1"/>
  <c r="J63" i="72"/>
  <c r="K63" i="72" s="1"/>
  <c r="L63" i="72" s="1"/>
  <c r="I65" i="72"/>
  <c r="C62" i="72"/>
  <c r="C63" i="71"/>
  <c r="D56" i="69"/>
  <c r="E56" i="69" s="1"/>
  <c r="F56" i="69" s="1"/>
  <c r="C57" i="69"/>
  <c r="M11" i="68"/>
  <c r="P184" i="63" s="1"/>
  <c r="U184" i="63" s="1"/>
  <c r="E58" i="68"/>
  <c r="F58" i="68" s="1"/>
  <c r="D59" i="68" s="1"/>
  <c r="D47" i="67"/>
  <c r="E47" i="67" s="1"/>
  <c r="F47" i="67" s="1"/>
  <c r="G47" i="67"/>
  <c r="H47" i="67" s="1"/>
  <c r="T114" i="63"/>
  <c r="J61" i="67"/>
  <c r="O51" i="50"/>
  <c r="K64" i="50"/>
  <c r="P65" i="50" s="1"/>
  <c r="D22" i="51"/>
  <c r="M10" i="69" l="1"/>
  <c r="Q19" i="69" s="1"/>
  <c r="K76" i="70"/>
  <c r="I32" i="69"/>
  <c r="J32" i="69"/>
  <c r="F100" i="70"/>
  <c r="P100" i="70" s="1"/>
  <c r="D60" i="71"/>
  <c r="E60" i="71" s="1"/>
  <c r="F60" i="71" s="1"/>
  <c r="G60" i="71"/>
  <c r="H60" i="71" s="1"/>
  <c r="F57" i="72"/>
  <c r="D58" i="72" s="1"/>
  <c r="E58" i="72" s="1"/>
  <c r="T217" i="63"/>
  <c r="K31" i="68"/>
  <c r="I32" i="68" s="1"/>
  <c r="U218" i="63"/>
  <c r="P204" i="63"/>
  <c r="U204" i="63" s="1"/>
  <c r="P218" i="63"/>
  <c r="U219" i="63" s="1"/>
  <c r="T203" i="63"/>
  <c r="E75" i="78"/>
  <c r="F75" i="78" s="1"/>
  <c r="D76" i="78" s="1"/>
  <c r="C79" i="78"/>
  <c r="D59" i="83"/>
  <c r="E59" i="83" s="1"/>
  <c r="F59" i="83" s="1"/>
  <c r="C62" i="83"/>
  <c r="D58" i="79"/>
  <c r="E58" i="79" s="1"/>
  <c r="F58" i="79" s="1"/>
  <c r="C64" i="79"/>
  <c r="J61" i="73"/>
  <c r="K61" i="73" s="1"/>
  <c r="L61" i="73" s="1"/>
  <c r="E59" i="73"/>
  <c r="F59" i="73" s="1"/>
  <c r="G59" i="73" s="1"/>
  <c r="D64" i="73"/>
  <c r="I64" i="73"/>
  <c r="J64" i="72"/>
  <c r="K64" i="72" s="1"/>
  <c r="L64" i="72" s="1"/>
  <c r="I66" i="72"/>
  <c r="C63" i="72"/>
  <c r="C64" i="71"/>
  <c r="D57" i="69"/>
  <c r="E57" i="69" s="1"/>
  <c r="F57" i="69" s="1"/>
  <c r="C58" i="69"/>
  <c r="Q18" i="68"/>
  <c r="Q30" i="68" s="1"/>
  <c r="O190" i="63" s="1"/>
  <c r="E59" i="68"/>
  <c r="F59" i="68" s="1"/>
  <c r="D48" i="67"/>
  <c r="E48" i="67" s="1"/>
  <c r="F48" i="67" s="1"/>
  <c r="G48" i="67"/>
  <c r="H48" i="67" s="1"/>
  <c r="J62" i="67"/>
  <c r="E22" i="51"/>
  <c r="F22" i="51" s="1"/>
  <c r="D23" i="51" s="1"/>
  <c r="E23" i="51" s="1"/>
  <c r="F23" i="51" s="1"/>
  <c r="K80" i="50"/>
  <c r="K32" i="69" l="1"/>
  <c r="I33" i="69" s="1"/>
  <c r="J116" i="70" s="1"/>
  <c r="O116" i="70" s="1"/>
  <c r="K100" i="70"/>
  <c r="J98" i="70" s="1"/>
  <c r="O98" i="70" s="1"/>
  <c r="J32" i="68"/>
  <c r="K32" i="68" s="1"/>
  <c r="I33" i="68" s="1"/>
  <c r="J33" i="68" s="1"/>
  <c r="K33" i="68" s="1"/>
  <c r="I34" i="68" s="1"/>
  <c r="J34" i="68" s="1"/>
  <c r="K34" i="68" s="1"/>
  <c r="I35" i="68" s="1"/>
  <c r="J35" i="68" s="1"/>
  <c r="K35" i="68" s="1"/>
  <c r="I36" i="68" s="1"/>
  <c r="J36" i="68" s="1"/>
  <c r="K36" i="68" s="1"/>
  <c r="I37" i="68" s="1"/>
  <c r="J37" i="68" s="1"/>
  <c r="K37" i="68" s="1"/>
  <c r="I38" i="68" s="1"/>
  <c r="J38" i="68" s="1"/>
  <c r="K38" i="68" s="1"/>
  <c r="I39" i="68" s="1"/>
  <c r="J39" i="68" s="1"/>
  <c r="K39" i="68" s="1"/>
  <c r="I40" i="68" s="1"/>
  <c r="J40" i="68" s="1"/>
  <c r="K40" i="68" s="1"/>
  <c r="I41" i="68" s="1"/>
  <c r="J41" i="68" s="1"/>
  <c r="K41" i="68" s="1"/>
  <c r="I42" i="68" s="1"/>
  <c r="J42" i="68" s="1"/>
  <c r="K42" i="68" s="1"/>
  <c r="I43" i="68" s="1"/>
  <c r="J43" i="68" s="1"/>
  <c r="K43" i="68" s="1"/>
  <c r="I44" i="68" s="1"/>
  <c r="J44" i="68" s="1"/>
  <c r="K44" i="68" s="1"/>
  <c r="I45" i="68" s="1"/>
  <c r="J45" i="68" s="1"/>
  <c r="K45" i="68" s="1"/>
  <c r="I46" i="68" s="1"/>
  <c r="J46" i="68" s="1"/>
  <c r="K46" i="68" s="1"/>
  <c r="I47" i="68" s="1"/>
  <c r="J47" i="68" s="1"/>
  <c r="K47" i="68" s="1"/>
  <c r="I48" i="68" s="1"/>
  <c r="J48" i="68" s="1"/>
  <c r="K48" i="68" s="1"/>
  <c r="I49" i="68" s="1"/>
  <c r="J49" i="68" s="1"/>
  <c r="K49" i="68" s="1"/>
  <c r="I50" i="68" s="1"/>
  <c r="J50" i="68" s="1"/>
  <c r="K50" i="68" s="1"/>
  <c r="I51" i="68" s="1"/>
  <c r="J51" i="68" s="1"/>
  <c r="K51" i="68" s="1"/>
  <c r="I52" i="68" s="1"/>
  <c r="J52" i="68" s="1"/>
  <c r="K52" i="68" s="1"/>
  <c r="I53" i="68" s="1"/>
  <c r="J53" i="68" s="1"/>
  <c r="K53" i="68" s="1"/>
  <c r="I54" i="68" s="1"/>
  <c r="J54" i="68" s="1"/>
  <c r="K54" i="68" s="1"/>
  <c r="O242" i="63"/>
  <c r="K101" i="70"/>
  <c r="J99" i="70" s="1"/>
  <c r="O99" i="70" s="1"/>
  <c r="P76" i="70"/>
  <c r="J75" i="70"/>
  <c r="Q48" i="69"/>
  <c r="Q50" i="69"/>
  <c r="Q36" i="69"/>
  <c r="Q40" i="69"/>
  <c r="Q59" i="69"/>
  <c r="Q60" i="69"/>
  <c r="Q32" i="69"/>
  <c r="K111" i="70" s="1"/>
  <c r="Q38" i="69"/>
  <c r="Q58" i="69"/>
  <c r="Q49" i="69"/>
  <c r="Q34" i="69"/>
  <c r="Q41" i="69"/>
  <c r="Q56" i="69"/>
  <c r="Q43" i="69"/>
  <c r="Q47" i="69"/>
  <c r="Q52" i="69"/>
  <c r="Q42" i="69"/>
  <c r="Q54" i="69"/>
  <c r="Q55" i="69"/>
  <c r="Q37" i="69"/>
  <c r="Q46" i="69"/>
  <c r="Q51" i="69"/>
  <c r="Q35" i="69"/>
  <c r="Q53" i="69"/>
  <c r="Q57" i="69"/>
  <c r="Q39" i="69"/>
  <c r="Q31" i="69"/>
  <c r="K87" i="70" s="1"/>
  <c r="Q45" i="69"/>
  <c r="Q44" i="69"/>
  <c r="Q33" i="69"/>
  <c r="D61" i="71"/>
  <c r="E61" i="71" s="1"/>
  <c r="F61" i="71" s="1"/>
  <c r="G61" i="71"/>
  <c r="H61" i="71" s="1"/>
  <c r="F58" i="72"/>
  <c r="D59" i="72" s="1"/>
  <c r="E59" i="72" s="1"/>
  <c r="P191" i="63"/>
  <c r="U193" i="63" s="1"/>
  <c r="T191" i="63"/>
  <c r="E76" i="78"/>
  <c r="F76" i="78" s="1"/>
  <c r="D77" i="78" s="1"/>
  <c r="C80" i="78"/>
  <c r="D60" i="83"/>
  <c r="E60" i="83" s="1"/>
  <c r="F60" i="83" s="1"/>
  <c r="C63" i="83"/>
  <c r="D59" i="79"/>
  <c r="E59" i="79" s="1"/>
  <c r="F59" i="79" s="1"/>
  <c r="C65" i="79"/>
  <c r="E60" i="73"/>
  <c r="F60" i="73" s="1"/>
  <c r="G60" i="73" s="1"/>
  <c r="I65" i="73"/>
  <c r="D65" i="73"/>
  <c r="J62" i="73"/>
  <c r="K62" i="73" s="1"/>
  <c r="L62" i="73" s="1"/>
  <c r="J65" i="72"/>
  <c r="K65" i="72" s="1"/>
  <c r="L65" i="72" s="1"/>
  <c r="I67" i="72"/>
  <c r="C64" i="72"/>
  <c r="C65" i="71"/>
  <c r="C66" i="71" s="1"/>
  <c r="C67" i="71" s="1"/>
  <c r="C68" i="71" s="1"/>
  <c r="C69" i="71" s="1"/>
  <c r="C70" i="71" s="1"/>
  <c r="C71" i="71" s="1"/>
  <c r="C72" i="71" s="1"/>
  <c r="C73" i="71" s="1"/>
  <c r="C74" i="71" s="1"/>
  <c r="C75" i="71" s="1"/>
  <c r="C76" i="71" s="1"/>
  <c r="D58" i="69"/>
  <c r="E58" i="69" s="1"/>
  <c r="F58" i="69" s="1"/>
  <c r="C59" i="69"/>
  <c r="Q38" i="68"/>
  <c r="Q48" i="68"/>
  <c r="Q33" i="68"/>
  <c r="Q43" i="68"/>
  <c r="Q36" i="68"/>
  <c r="Q52" i="68"/>
  <c r="Q53" i="68"/>
  <c r="Q46" i="68"/>
  <c r="Q56" i="68"/>
  <c r="Q41" i="68"/>
  <c r="Q59" i="68"/>
  <c r="Q35" i="68"/>
  <c r="Q49" i="68"/>
  <c r="Q44" i="68"/>
  <c r="Q39" i="68"/>
  <c r="Q51" i="68"/>
  <c r="Q57" i="68"/>
  <c r="Q31" i="68"/>
  <c r="O229" i="63" s="1"/>
  <c r="Q54" i="68"/>
  <c r="Q45" i="68"/>
  <c r="Q32" i="68"/>
  <c r="Q55" i="68"/>
  <c r="Q37" i="68"/>
  <c r="Q47" i="68"/>
  <c r="Q34" i="68"/>
  <c r="Q42" i="68"/>
  <c r="Q50" i="68"/>
  <c r="Q40" i="68"/>
  <c r="Q58" i="68"/>
  <c r="D60" i="68"/>
  <c r="E60" i="68" s="1"/>
  <c r="F60" i="68" s="1"/>
  <c r="D49" i="67"/>
  <c r="E49" i="67" s="1"/>
  <c r="F49" i="67" s="1"/>
  <c r="G49" i="67"/>
  <c r="H49" i="67" s="1"/>
  <c r="J63" i="67"/>
  <c r="J79" i="50"/>
  <c r="P80" i="50"/>
  <c r="D24" i="51"/>
  <c r="E24" i="51" s="1"/>
  <c r="F24" i="51" s="1"/>
  <c r="O255" i="63" l="1"/>
  <c r="K117" i="70"/>
  <c r="P117" i="70" s="1"/>
  <c r="J33" i="69"/>
  <c r="K33" i="69" s="1"/>
  <c r="I34" i="69" s="1"/>
  <c r="J34" i="69" s="1"/>
  <c r="K34" i="69" s="1"/>
  <c r="I35" i="69" s="1"/>
  <c r="J35" i="69" s="1"/>
  <c r="K35" i="69" s="1"/>
  <c r="I36" i="69" s="1"/>
  <c r="J36" i="69" s="1"/>
  <c r="K36" i="69" s="1"/>
  <c r="I37" i="69" s="1"/>
  <c r="J37" i="69" s="1"/>
  <c r="K37" i="69" s="1"/>
  <c r="I38" i="69" s="1"/>
  <c r="J38" i="69" s="1"/>
  <c r="K38" i="69" s="1"/>
  <c r="I39" i="69" s="1"/>
  <c r="J39" i="69" s="1"/>
  <c r="K39" i="69" s="1"/>
  <c r="I40" i="69" s="1"/>
  <c r="J40" i="69" s="1"/>
  <c r="K40" i="69" s="1"/>
  <c r="I41" i="69" s="1"/>
  <c r="J41" i="69" s="1"/>
  <c r="K41" i="69" s="1"/>
  <c r="I42" i="69" s="1"/>
  <c r="J42" i="69" s="1"/>
  <c r="K42" i="69" s="1"/>
  <c r="I43" i="69" s="1"/>
  <c r="J43" i="69" s="1"/>
  <c r="K43" i="69" s="1"/>
  <c r="I44" i="69" s="1"/>
  <c r="J44" i="69" s="1"/>
  <c r="K44" i="69" s="1"/>
  <c r="I45" i="69" s="1"/>
  <c r="J45" i="69" s="1"/>
  <c r="K45" i="69" s="1"/>
  <c r="I46" i="69" s="1"/>
  <c r="J46" i="69" s="1"/>
  <c r="K46" i="69" s="1"/>
  <c r="I47" i="69" s="1"/>
  <c r="J47" i="69" s="1"/>
  <c r="K47" i="69" s="1"/>
  <c r="I48" i="69" s="1"/>
  <c r="J48" i="69" s="1"/>
  <c r="K48" i="69" s="1"/>
  <c r="I49" i="69" s="1"/>
  <c r="J49" i="69" s="1"/>
  <c r="K49" i="69" s="1"/>
  <c r="I50" i="69" s="1"/>
  <c r="J50" i="69" s="1"/>
  <c r="K50" i="69" s="1"/>
  <c r="I51" i="69" s="1"/>
  <c r="J51" i="69" s="1"/>
  <c r="K51" i="69" s="1"/>
  <c r="I52" i="69" s="1"/>
  <c r="J52" i="69" s="1"/>
  <c r="K52" i="69" s="1"/>
  <c r="I53" i="69" s="1"/>
  <c r="J53" i="69" s="1"/>
  <c r="K53" i="69" s="1"/>
  <c r="I54" i="69" s="1"/>
  <c r="J54" i="69" s="1"/>
  <c r="K54" i="69" s="1"/>
  <c r="I55" i="69" s="1"/>
  <c r="J55" i="69" s="1"/>
  <c r="K55" i="69" s="1"/>
  <c r="I56" i="69" s="1"/>
  <c r="J56" i="69" s="1"/>
  <c r="K56" i="69" s="1"/>
  <c r="I57" i="69" s="1"/>
  <c r="J57" i="69" s="1"/>
  <c r="K57" i="69" s="1"/>
  <c r="I58" i="69" s="1"/>
  <c r="J58" i="69" s="1"/>
  <c r="K58" i="69" s="1"/>
  <c r="I59" i="69" s="1"/>
  <c r="J59" i="69" s="1"/>
  <c r="K59" i="69" s="1"/>
  <c r="I60" i="69" s="1"/>
  <c r="J60" i="69" s="1"/>
  <c r="K60" i="69" s="1"/>
  <c r="I61" i="69" s="1"/>
  <c r="J61" i="69" s="1"/>
  <c r="K61" i="69" s="1"/>
  <c r="I62" i="69" s="1"/>
  <c r="J62" i="69" s="1"/>
  <c r="K62" i="69" s="1"/>
  <c r="I63" i="69" s="1"/>
  <c r="J63" i="69" s="1"/>
  <c r="K63" i="69" s="1"/>
  <c r="I64" i="69" s="1"/>
  <c r="J64" i="69" s="1"/>
  <c r="K64" i="69" s="1"/>
  <c r="O92" i="70"/>
  <c r="K93" i="70"/>
  <c r="P93" i="70" s="1"/>
  <c r="P243" i="63"/>
  <c r="U243" i="63" s="1"/>
  <c r="T242" i="63"/>
  <c r="T255" i="63" s="1"/>
  <c r="J86" i="70"/>
  <c r="O86" i="70" s="1"/>
  <c r="P87" i="70"/>
  <c r="O75" i="70"/>
  <c r="Q17" i="69"/>
  <c r="P111" i="70"/>
  <c r="J110" i="70"/>
  <c r="O110" i="70" s="1"/>
  <c r="D62" i="71"/>
  <c r="E62" i="71" s="1"/>
  <c r="F62" i="71" s="1"/>
  <c r="G62" i="71"/>
  <c r="H62" i="71" s="1"/>
  <c r="F59" i="72"/>
  <c r="D60" i="72" s="1"/>
  <c r="E60" i="72" s="1"/>
  <c r="P230" i="63"/>
  <c r="U232" i="63" s="1"/>
  <c r="T230" i="63"/>
  <c r="O79" i="50"/>
  <c r="O88" i="50" s="1"/>
  <c r="J88" i="50"/>
  <c r="E77" i="78"/>
  <c r="F77" i="78" s="1"/>
  <c r="D78" i="78" s="1"/>
  <c r="C81" i="78"/>
  <c r="D61" i="83"/>
  <c r="E61" i="83" s="1"/>
  <c r="F61" i="83" s="1"/>
  <c r="C64" i="83"/>
  <c r="D60" i="79"/>
  <c r="E60" i="79" s="1"/>
  <c r="F60" i="79" s="1"/>
  <c r="C66" i="79"/>
  <c r="J63" i="73"/>
  <c r="K63" i="73" s="1"/>
  <c r="L63" i="73" s="1"/>
  <c r="D66" i="73"/>
  <c r="I66" i="73"/>
  <c r="E61" i="73"/>
  <c r="F61" i="73" s="1"/>
  <c r="G61" i="73" s="1"/>
  <c r="C65" i="72"/>
  <c r="I68" i="72"/>
  <c r="J66" i="72"/>
  <c r="K66" i="72" s="1"/>
  <c r="L66" i="72" s="1"/>
  <c r="D59" i="69"/>
  <c r="E59" i="69" s="1"/>
  <c r="F59" i="69" s="1"/>
  <c r="C60" i="69"/>
  <c r="Q14" i="68"/>
  <c r="D61" i="68"/>
  <c r="E61" i="68" s="1"/>
  <c r="F61" i="68" s="1"/>
  <c r="D62" i="68" s="1"/>
  <c r="E62" i="68" s="1"/>
  <c r="F62" i="68" s="1"/>
  <c r="D63" i="68" s="1"/>
  <c r="E63" i="68" s="1"/>
  <c r="F63" i="68" s="1"/>
  <c r="G50" i="67"/>
  <c r="H50" i="67" s="1"/>
  <c r="D50" i="67"/>
  <c r="E50" i="67" s="1"/>
  <c r="F50" i="67" s="1"/>
  <c r="I55" i="68"/>
  <c r="J55" i="68" s="1"/>
  <c r="K55" i="68" s="1"/>
  <c r="J64" i="67"/>
  <c r="D25" i="51"/>
  <c r="E25" i="51" s="1"/>
  <c r="F25" i="51" s="1"/>
  <c r="D26" i="51" s="1"/>
  <c r="J121" i="70" l="1"/>
  <c r="D63" i="71"/>
  <c r="E63" i="71" s="1"/>
  <c r="F63" i="71" s="1"/>
  <c r="G63" i="71"/>
  <c r="H63" i="71" s="1"/>
  <c r="F60" i="72"/>
  <c r="D61" i="72" s="1"/>
  <c r="E61" i="72" s="1"/>
  <c r="E78" i="78"/>
  <c r="F78" i="78" s="1"/>
  <c r="D79" i="78" s="1"/>
  <c r="C82" i="78"/>
  <c r="D62" i="83"/>
  <c r="E62" i="83" s="1"/>
  <c r="F62" i="83" s="1"/>
  <c r="C65" i="83"/>
  <c r="D61" i="79"/>
  <c r="E61" i="79" s="1"/>
  <c r="F61" i="79" s="1"/>
  <c r="C67" i="79"/>
  <c r="E62" i="73"/>
  <c r="F62" i="73" s="1"/>
  <c r="G62" i="73" s="1"/>
  <c r="J64" i="73"/>
  <c r="K64" i="73" s="1"/>
  <c r="L64" i="73" s="1"/>
  <c r="D67" i="73"/>
  <c r="I67" i="73"/>
  <c r="C66" i="72"/>
  <c r="J67" i="72"/>
  <c r="K67" i="72" s="1"/>
  <c r="L67" i="72" s="1"/>
  <c r="I69" i="72"/>
  <c r="D60" i="69"/>
  <c r="E60" i="69" s="1"/>
  <c r="F60" i="69" s="1"/>
  <c r="C61" i="69"/>
  <c r="D51" i="67"/>
  <c r="E51" i="67" s="1"/>
  <c r="F51" i="67" s="1"/>
  <c r="G51" i="67"/>
  <c r="H51" i="67" s="1"/>
  <c r="I56" i="68"/>
  <c r="J56" i="68" s="1"/>
  <c r="K56" i="68" s="1"/>
  <c r="J65" i="67"/>
  <c r="E26" i="51"/>
  <c r="F26" i="51" s="1"/>
  <c r="D64" i="71" l="1"/>
  <c r="E64" i="71" s="1"/>
  <c r="F64" i="71" s="1"/>
  <c r="G64" i="71"/>
  <c r="H64" i="71" s="1"/>
  <c r="F61" i="72"/>
  <c r="D62" i="72" s="1"/>
  <c r="E62" i="72" s="1"/>
  <c r="E79" i="78"/>
  <c r="F79" i="78" s="1"/>
  <c r="D80" i="78" s="1"/>
  <c r="C83" i="78"/>
  <c r="D63" i="83"/>
  <c r="E63" i="83" s="1"/>
  <c r="F63" i="83" s="1"/>
  <c r="C66" i="83"/>
  <c r="C68" i="79"/>
  <c r="D62" i="79"/>
  <c r="E62" i="79" s="1"/>
  <c r="F62" i="79" s="1"/>
  <c r="J65" i="73"/>
  <c r="K65" i="73" s="1"/>
  <c r="L65" i="73" s="1"/>
  <c r="E63" i="73"/>
  <c r="F63" i="73" s="1"/>
  <c r="G63" i="73" s="1"/>
  <c r="I68" i="73"/>
  <c r="D68" i="73"/>
  <c r="C67" i="72"/>
  <c r="J68" i="72"/>
  <c r="K68" i="72" s="1"/>
  <c r="L68" i="72" s="1"/>
  <c r="I70" i="72"/>
  <c r="D61" i="69"/>
  <c r="E61" i="69" s="1"/>
  <c r="F61" i="69" s="1"/>
  <c r="D52" i="67"/>
  <c r="E52" i="67" s="1"/>
  <c r="F52" i="67" s="1"/>
  <c r="G52" i="67"/>
  <c r="H52" i="67" s="1"/>
  <c r="I57" i="68"/>
  <c r="J57" i="68" s="1"/>
  <c r="K57" i="68" s="1"/>
  <c r="J66" i="67"/>
  <c r="I35" i="54"/>
  <c r="L35" i="54" s="1"/>
  <c r="D77" i="55" s="1"/>
  <c r="D27" i="51"/>
  <c r="E27" i="51" s="1"/>
  <c r="D65" i="71" l="1"/>
  <c r="E65" i="71" s="1"/>
  <c r="F65" i="71" s="1"/>
  <c r="G65" i="71"/>
  <c r="H65" i="71" s="1"/>
  <c r="F62" i="72"/>
  <c r="D63" i="72" s="1"/>
  <c r="E63" i="72" s="1"/>
  <c r="N77" i="55"/>
  <c r="E86" i="55"/>
  <c r="E80" i="78"/>
  <c r="F80" i="78" s="1"/>
  <c r="D81" i="78" s="1"/>
  <c r="C84" i="78"/>
  <c r="D64" i="83"/>
  <c r="E64" i="83" s="1"/>
  <c r="F64" i="83" s="1"/>
  <c r="C67" i="83"/>
  <c r="D63" i="79"/>
  <c r="E63" i="79" s="1"/>
  <c r="F63" i="79" s="1"/>
  <c r="C69" i="79"/>
  <c r="E64" i="73"/>
  <c r="F64" i="73" s="1"/>
  <c r="G64" i="73" s="1"/>
  <c r="J66" i="73"/>
  <c r="K66" i="73" s="1"/>
  <c r="L66" i="73" s="1"/>
  <c r="D69" i="73"/>
  <c r="I69" i="73"/>
  <c r="C68" i="72"/>
  <c r="J69" i="72"/>
  <c r="K69" i="72" s="1"/>
  <c r="L69" i="72" s="1"/>
  <c r="I71" i="72"/>
  <c r="D62" i="69"/>
  <c r="E62" i="69" s="1"/>
  <c r="F62" i="69" s="1"/>
  <c r="D53" i="67"/>
  <c r="E53" i="67" s="1"/>
  <c r="F53" i="67" s="1"/>
  <c r="G53" i="67"/>
  <c r="H53" i="67" s="1"/>
  <c r="I58" i="68"/>
  <c r="J58" i="68" s="1"/>
  <c r="K58" i="68" s="1"/>
  <c r="J67" i="67"/>
  <c r="C15" i="54"/>
  <c r="C11" i="54" s="1"/>
  <c r="F27" i="51"/>
  <c r="D66" i="71" l="1"/>
  <c r="E66" i="71" s="1"/>
  <c r="F66" i="71" s="1"/>
  <c r="G66" i="71"/>
  <c r="H66" i="71" s="1"/>
  <c r="F63" i="72"/>
  <c r="D64" i="72" s="1"/>
  <c r="E64" i="72" s="1"/>
  <c r="O88" i="55"/>
  <c r="D85" i="55"/>
  <c r="N85" i="55" s="1"/>
  <c r="E81" i="78"/>
  <c r="F81" i="78" s="1"/>
  <c r="D82" i="78" s="1"/>
  <c r="C85" i="78"/>
  <c r="D65" i="83"/>
  <c r="E65" i="83" s="1"/>
  <c r="F65" i="83" s="1"/>
  <c r="C68" i="83"/>
  <c r="D64" i="79"/>
  <c r="E64" i="79" s="1"/>
  <c r="F64" i="79" s="1"/>
  <c r="C70" i="79"/>
  <c r="J67" i="73"/>
  <c r="K67" i="73" s="1"/>
  <c r="L67" i="73" s="1"/>
  <c r="E65" i="73"/>
  <c r="F65" i="73" s="1"/>
  <c r="G65" i="73" s="1"/>
  <c r="I70" i="73"/>
  <c r="D70" i="73"/>
  <c r="C69" i="72"/>
  <c r="J70" i="72"/>
  <c r="K70" i="72" s="1"/>
  <c r="L70" i="72" s="1"/>
  <c r="I72" i="72"/>
  <c r="D63" i="69"/>
  <c r="E63" i="69" s="1"/>
  <c r="F63" i="69" s="1"/>
  <c r="D54" i="67"/>
  <c r="E54" i="67" s="1"/>
  <c r="F54" i="67" s="1"/>
  <c r="G54" i="67"/>
  <c r="H54" i="67" s="1"/>
  <c r="I59" i="68"/>
  <c r="J59" i="68" s="1"/>
  <c r="K59" i="68" s="1"/>
  <c r="I60" i="68" s="1"/>
  <c r="J60" i="68" s="1"/>
  <c r="K60" i="68" s="1"/>
  <c r="J68" i="67"/>
  <c r="C18" i="56"/>
  <c r="G4" i="54"/>
  <c r="D28" i="51"/>
  <c r="E28" i="51" s="1"/>
  <c r="F28" i="51" s="1"/>
  <c r="D67" i="71" l="1"/>
  <c r="E67" i="71" s="1"/>
  <c r="F67" i="71" s="1"/>
  <c r="G67" i="71"/>
  <c r="H67" i="71" s="1"/>
  <c r="F64" i="72"/>
  <c r="D65" i="72" s="1"/>
  <c r="E65" i="72" s="1"/>
  <c r="E82" i="78"/>
  <c r="F82" i="78" s="1"/>
  <c r="D83" i="78" s="1"/>
  <c r="C86" i="78"/>
  <c r="D66" i="83"/>
  <c r="E66" i="83" s="1"/>
  <c r="F66" i="83" s="1"/>
  <c r="C69" i="83"/>
  <c r="D65" i="79"/>
  <c r="E65" i="79" s="1"/>
  <c r="F65" i="79" s="1"/>
  <c r="C71" i="79"/>
  <c r="C72" i="79" s="1"/>
  <c r="C73" i="79" s="1"/>
  <c r="C74" i="79" s="1"/>
  <c r="C75" i="79" s="1"/>
  <c r="C76" i="79" s="1"/>
  <c r="C77" i="79" s="1"/>
  <c r="C78" i="79" s="1"/>
  <c r="C79" i="79" s="1"/>
  <c r="C80" i="79" s="1"/>
  <c r="J68" i="73"/>
  <c r="K68" i="73" s="1"/>
  <c r="L68" i="73" s="1"/>
  <c r="D71" i="73"/>
  <c r="I71" i="73"/>
  <c r="E66" i="73"/>
  <c r="F66" i="73" s="1"/>
  <c r="G66" i="73" s="1"/>
  <c r="C70" i="72"/>
  <c r="J71" i="72"/>
  <c r="K71" i="72" s="1"/>
  <c r="L71" i="72" s="1"/>
  <c r="I73" i="72"/>
  <c r="D64" i="69"/>
  <c r="E64" i="69" s="1"/>
  <c r="F64" i="69" s="1"/>
  <c r="I61" i="68"/>
  <c r="J61" i="68" s="1"/>
  <c r="K61" i="68" s="1"/>
  <c r="I62" i="68" s="1"/>
  <c r="J62" i="68" s="1"/>
  <c r="K62" i="68" s="1"/>
  <c r="D55" i="67"/>
  <c r="E55" i="67" s="1"/>
  <c r="F55" i="67" s="1"/>
  <c r="G55" i="67"/>
  <c r="H55" i="67" s="1"/>
  <c r="J69" i="67"/>
  <c r="G6" i="54"/>
  <c r="E10" i="55"/>
  <c r="F16" i="54"/>
  <c r="F19" i="59" s="1"/>
  <c r="D8" i="55" l="1"/>
  <c r="O14" i="54"/>
  <c r="P15" i="54"/>
  <c r="P18" i="59" s="1"/>
  <c r="D68" i="71"/>
  <c r="E68" i="71" s="1"/>
  <c r="F68" i="71" s="1"/>
  <c r="G68" i="71"/>
  <c r="H68" i="71" s="1"/>
  <c r="F65" i="72"/>
  <c r="D66" i="72" s="1"/>
  <c r="E66" i="72" s="1"/>
  <c r="E83" i="78"/>
  <c r="F83" i="78" s="1"/>
  <c r="D84" i="78" s="1"/>
  <c r="C87" i="78"/>
  <c r="D67" i="83"/>
  <c r="E67" i="83" s="1"/>
  <c r="F67" i="83" s="1"/>
  <c r="C70" i="83"/>
  <c r="D66" i="79"/>
  <c r="E66" i="79" s="1"/>
  <c r="F66" i="79" s="1"/>
  <c r="E67" i="73"/>
  <c r="F67" i="73" s="1"/>
  <c r="G67" i="73" s="1"/>
  <c r="I72" i="73"/>
  <c r="D72" i="73"/>
  <c r="J69" i="73"/>
  <c r="K69" i="73" s="1"/>
  <c r="L69" i="73" s="1"/>
  <c r="C71" i="72"/>
  <c r="J72" i="72"/>
  <c r="K72" i="72" s="1"/>
  <c r="L72" i="72" s="1"/>
  <c r="I63" i="68"/>
  <c r="J63" i="68" s="1"/>
  <c r="K63" i="68" s="1"/>
  <c r="D56" i="67"/>
  <c r="E56" i="67" s="1"/>
  <c r="F56" i="67" s="1"/>
  <c r="G56" i="67"/>
  <c r="H56" i="67" s="1"/>
  <c r="J70" i="67"/>
  <c r="J71" i="67" s="1"/>
  <c r="J72" i="67" s="1"/>
  <c r="J10" i="55"/>
  <c r="O10" i="55" s="1"/>
  <c r="I8" i="55"/>
  <c r="K11" i="61"/>
  <c r="P11" i="61" s="1"/>
  <c r="J8" i="61"/>
  <c r="D17" i="54"/>
  <c r="O33" i="54" l="1"/>
  <c r="O32" i="54"/>
  <c r="O31" i="54"/>
  <c r="O30" i="54"/>
  <c r="O35" i="54"/>
  <c r="I85" i="55" s="1"/>
  <c r="N86" i="55" s="1"/>
  <c r="O34" i="54"/>
  <c r="O29" i="54"/>
  <c r="D69" i="71"/>
  <c r="E69" i="71" s="1"/>
  <c r="F69" i="71" s="1"/>
  <c r="G69" i="71"/>
  <c r="H69" i="71" s="1"/>
  <c r="F66" i="72"/>
  <c r="D67" i="72" s="1"/>
  <c r="E67" i="72" s="1"/>
  <c r="E84" i="78"/>
  <c r="F84" i="78" s="1"/>
  <c r="D85" i="78" s="1"/>
  <c r="C88" i="78"/>
  <c r="D68" i="83"/>
  <c r="E68" i="83" s="1"/>
  <c r="F68" i="83" s="1"/>
  <c r="C71" i="83"/>
  <c r="D67" i="79"/>
  <c r="E67" i="79" s="1"/>
  <c r="F67" i="79" s="1"/>
  <c r="J70" i="73"/>
  <c r="K70" i="73" s="1"/>
  <c r="L70" i="73" s="1"/>
  <c r="E68" i="73"/>
  <c r="F68" i="73" s="1"/>
  <c r="G68" i="73" s="1"/>
  <c r="I73" i="73"/>
  <c r="I74" i="73" s="1"/>
  <c r="D73" i="73"/>
  <c r="D74" i="73" s="1"/>
  <c r="C72" i="72"/>
  <c r="J73" i="72"/>
  <c r="K73" i="72" s="1"/>
  <c r="L73" i="72" s="1"/>
  <c r="D57" i="67"/>
  <c r="E57" i="67" s="1"/>
  <c r="F57" i="67" s="1"/>
  <c r="G57" i="67"/>
  <c r="H57" i="67" s="1"/>
  <c r="J73" i="67"/>
  <c r="J74" i="67" s="1"/>
  <c r="E17" i="54"/>
  <c r="D20" i="59"/>
  <c r="J25" i="55"/>
  <c r="D31" i="55"/>
  <c r="O28" i="54"/>
  <c r="O16" i="54"/>
  <c r="O24" i="54"/>
  <c r="O20" i="54"/>
  <c r="O23" i="59" s="1"/>
  <c r="O19" i="54"/>
  <c r="O22" i="59" s="1"/>
  <c r="O21" i="54"/>
  <c r="O24" i="59" s="1"/>
  <c r="O25" i="54"/>
  <c r="O17" i="54"/>
  <c r="O26" i="54"/>
  <c r="O22" i="54"/>
  <c r="O25" i="59" s="1"/>
  <c r="O18" i="54"/>
  <c r="O27" i="54"/>
  <c r="O23" i="54"/>
  <c r="K12" i="61"/>
  <c r="O8" i="61" s="1"/>
  <c r="J11" i="55"/>
  <c r="I9" i="55" s="1"/>
  <c r="N8" i="55" s="1"/>
  <c r="D70" i="71" l="1"/>
  <c r="E70" i="71" s="1"/>
  <c r="F70" i="71" s="1"/>
  <c r="G70" i="71"/>
  <c r="H70" i="71" s="1"/>
  <c r="P16" i="54"/>
  <c r="O11" i="54"/>
  <c r="F67" i="72"/>
  <c r="D68" i="72" s="1"/>
  <c r="E68" i="72" s="1"/>
  <c r="J86" i="55"/>
  <c r="O87" i="55" s="1"/>
  <c r="E85" i="78"/>
  <c r="F85" i="78" s="1"/>
  <c r="D86" i="78" s="1"/>
  <c r="C89" i="78"/>
  <c r="D69" i="83"/>
  <c r="E69" i="83" s="1"/>
  <c r="F69" i="83" s="1"/>
  <c r="C72" i="83"/>
  <c r="D68" i="79"/>
  <c r="E68" i="79" s="1"/>
  <c r="F68" i="79" s="1"/>
  <c r="E69" i="73"/>
  <c r="F69" i="73" s="1"/>
  <c r="G69" i="73" s="1"/>
  <c r="J71" i="73"/>
  <c r="K71" i="73" s="1"/>
  <c r="L71" i="73" s="1"/>
  <c r="C73" i="72"/>
  <c r="J74" i="72"/>
  <c r="K74" i="72" s="1"/>
  <c r="L74" i="72" s="1"/>
  <c r="G58" i="67"/>
  <c r="H58" i="67" s="1"/>
  <c r="D58" i="67"/>
  <c r="E58" i="67" s="1"/>
  <c r="F58" i="67" s="1"/>
  <c r="O20" i="59"/>
  <c r="I38" i="55"/>
  <c r="N39" i="55" s="1"/>
  <c r="O25" i="55"/>
  <c r="I31" i="55"/>
  <c r="N31" i="55" s="1"/>
  <c r="I24" i="55"/>
  <c r="O19" i="59"/>
  <c r="I16" i="55"/>
  <c r="N17" i="55" s="1"/>
  <c r="J27" i="61"/>
  <c r="P28" i="61"/>
  <c r="J34" i="61"/>
  <c r="O34" i="61" s="1"/>
  <c r="O21" i="59"/>
  <c r="I62" i="55"/>
  <c r="N62" i="55" s="1"/>
  <c r="F17" i="54"/>
  <c r="E20" i="59"/>
  <c r="D30" i="55"/>
  <c r="D71" i="71" l="1"/>
  <c r="E71" i="71" s="1"/>
  <c r="F71" i="71" s="1"/>
  <c r="G71" i="71"/>
  <c r="H71" i="71" s="1"/>
  <c r="F68" i="72"/>
  <c r="D69" i="72" s="1"/>
  <c r="E69" i="72" s="1"/>
  <c r="E86" i="78"/>
  <c r="F86" i="78" s="1"/>
  <c r="D87" i="78" s="1"/>
  <c r="C90" i="78"/>
  <c r="D70" i="83"/>
  <c r="E70" i="83" s="1"/>
  <c r="F70" i="83" s="1"/>
  <c r="C73" i="83"/>
  <c r="D69" i="79"/>
  <c r="E69" i="79" s="1"/>
  <c r="F69" i="79" s="1"/>
  <c r="J72" i="73"/>
  <c r="K72" i="73" s="1"/>
  <c r="L72" i="73" s="1"/>
  <c r="E70" i="73"/>
  <c r="F70" i="73" s="1"/>
  <c r="G70" i="73" s="1"/>
  <c r="D59" i="67"/>
  <c r="E59" i="67" s="1"/>
  <c r="F59" i="67" s="1"/>
  <c r="G59" i="67"/>
  <c r="H59" i="67" s="1"/>
  <c r="P19" i="59"/>
  <c r="P17" i="54"/>
  <c r="N24" i="55"/>
  <c r="J32" i="55"/>
  <c r="K36" i="61"/>
  <c r="J33" i="61" s="1"/>
  <c r="O33" i="61" s="1"/>
  <c r="F20" i="59"/>
  <c r="D18" i="54"/>
  <c r="J33" i="55"/>
  <c r="I30" i="55" s="1"/>
  <c r="N30" i="55" s="1"/>
  <c r="K35" i="61"/>
  <c r="O27" i="61"/>
  <c r="J39" i="55"/>
  <c r="O40" i="55" s="1"/>
  <c r="J63" i="55"/>
  <c r="O63" i="55" s="1"/>
  <c r="J17" i="55"/>
  <c r="O18" i="55" s="1"/>
  <c r="P21" i="61"/>
  <c r="D72" i="71" l="1"/>
  <c r="E72" i="71" s="1"/>
  <c r="F72" i="71" s="1"/>
  <c r="G72" i="71"/>
  <c r="H72" i="71" s="1"/>
  <c r="F69" i="72"/>
  <c r="D70" i="72" s="1"/>
  <c r="E70" i="72" s="1"/>
  <c r="E87" i="78"/>
  <c r="F87" i="78" s="1"/>
  <c r="D88" i="78" s="1"/>
  <c r="C91" i="78"/>
  <c r="D71" i="83"/>
  <c r="E71" i="83" s="1"/>
  <c r="F71" i="83" s="1"/>
  <c r="C74" i="83"/>
  <c r="D70" i="79"/>
  <c r="E70" i="79" s="1"/>
  <c r="F70" i="79" s="1"/>
  <c r="E71" i="73"/>
  <c r="F71" i="73" s="1"/>
  <c r="G71" i="73" s="1"/>
  <c r="J73" i="73"/>
  <c r="K73" i="73" s="1"/>
  <c r="L73" i="73" s="1"/>
  <c r="G60" i="67"/>
  <c r="H60" i="67" s="1"/>
  <c r="D60" i="67"/>
  <c r="E60" i="67" s="1"/>
  <c r="F60" i="67" s="1"/>
  <c r="E18" i="54"/>
  <c r="D21" i="59"/>
  <c r="I46" i="55"/>
  <c r="D54" i="55"/>
  <c r="P18" i="54"/>
  <c r="P20" i="59"/>
  <c r="D73" i="71" l="1"/>
  <c r="E73" i="71" s="1"/>
  <c r="F73" i="71" s="1"/>
  <c r="G73" i="71"/>
  <c r="H73" i="71" s="1"/>
  <c r="F70" i="72"/>
  <c r="D71" i="72" s="1"/>
  <c r="E71" i="72" s="1"/>
  <c r="E88" i="78"/>
  <c r="F88" i="78" s="1"/>
  <c r="D89" i="78" s="1"/>
  <c r="D72" i="83"/>
  <c r="E72" i="83" s="1"/>
  <c r="F72" i="83" s="1"/>
  <c r="C75" i="83"/>
  <c r="D71" i="79"/>
  <c r="E71" i="79" s="1"/>
  <c r="F71" i="79" s="1"/>
  <c r="J74" i="73"/>
  <c r="K74" i="73" s="1"/>
  <c r="L74" i="73" s="1"/>
  <c r="E72" i="73"/>
  <c r="F72" i="73" s="1"/>
  <c r="G72" i="73" s="1"/>
  <c r="D61" i="67"/>
  <c r="E61" i="67" s="1"/>
  <c r="F61" i="67" s="1"/>
  <c r="G61" i="67"/>
  <c r="H61" i="67" s="1"/>
  <c r="N46" i="55"/>
  <c r="J47" i="55"/>
  <c r="J55" i="55"/>
  <c r="K57" i="61"/>
  <c r="O49" i="61"/>
  <c r="K50" i="61"/>
  <c r="F18" i="54"/>
  <c r="E21" i="59"/>
  <c r="D53" i="55"/>
  <c r="P19" i="54"/>
  <c r="P21" i="59"/>
  <c r="D74" i="71" l="1"/>
  <c r="E74" i="71" s="1"/>
  <c r="F74" i="71" s="1"/>
  <c r="G74" i="71"/>
  <c r="H74" i="71" s="1"/>
  <c r="F71" i="72"/>
  <c r="D72" i="72" s="1"/>
  <c r="E72" i="72" s="1"/>
  <c r="E89" i="78"/>
  <c r="F89" i="78" s="1"/>
  <c r="D90" i="78" s="1"/>
  <c r="C76" i="83"/>
  <c r="D73" i="83"/>
  <c r="E73" i="83" s="1"/>
  <c r="F73" i="83" s="1"/>
  <c r="D72" i="79"/>
  <c r="E72" i="79" s="1"/>
  <c r="F72" i="79" s="1"/>
  <c r="D73" i="79" s="1"/>
  <c r="E73" i="79" s="1"/>
  <c r="F73" i="79" s="1"/>
  <c r="D74" i="79" s="1"/>
  <c r="E74" i="79" s="1"/>
  <c r="F74" i="79" s="1"/>
  <c r="D75" i="79" s="1"/>
  <c r="E75" i="79" s="1"/>
  <c r="F75" i="79" s="1"/>
  <c r="D76" i="79" s="1"/>
  <c r="E76" i="79" s="1"/>
  <c r="F76" i="79" s="1"/>
  <c r="D77" i="79" s="1"/>
  <c r="E77" i="79" s="1"/>
  <c r="F77" i="79" s="1"/>
  <c r="D78" i="79" s="1"/>
  <c r="E78" i="79" s="1"/>
  <c r="F78" i="79" s="1"/>
  <c r="D79" i="79" s="1"/>
  <c r="E79" i="79" s="1"/>
  <c r="F79" i="79" s="1"/>
  <c r="D80" i="79" s="1"/>
  <c r="E80" i="79" s="1"/>
  <c r="F80" i="79" s="1"/>
  <c r="D81" i="79" s="1"/>
  <c r="E81" i="79" s="1"/>
  <c r="F81" i="79" s="1"/>
  <c r="D82" i="79" s="1"/>
  <c r="E82" i="79" s="1"/>
  <c r="F82" i="79" s="1"/>
  <c r="E73" i="73"/>
  <c r="F73" i="73" s="1"/>
  <c r="G73" i="73" s="1"/>
  <c r="D62" i="67"/>
  <c r="E62" i="67" s="1"/>
  <c r="F62" i="67" s="1"/>
  <c r="G62" i="67"/>
  <c r="H62" i="67" s="1"/>
  <c r="J56" i="61"/>
  <c r="O56" i="61" s="1"/>
  <c r="P50" i="61"/>
  <c r="F21" i="59"/>
  <c r="D19" i="54"/>
  <c r="P20" i="54"/>
  <c r="P22" i="59"/>
  <c r="J56" i="55"/>
  <c r="I53" i="55" s="1"/>
  <c r="O47" i="55"/>
  <c r="I54" i="55"/>
  <c r="N54" i="55" s="1"/>
  <c r="K58" i="61"/>
  <c r="J55" i="61" s="1"/>
  <c r="O55" i="61" s="1"/>
  <c r="E77" i="61"/>
  <c r="E28" i="59"/>
  <c r="D75" i="71" l="1"/>
  <c r="E75" i="71" s="1"/>
  <c r="F75" i="71" s="1"/>
  <c r="G75" i="71"/>
  <c r="H75" i="71" s="1"/>
  <c r="F72" i="72"/>
  <c r="D73" i="72" s="1"/>
  <c r="E73" i="72" s="1"/>
  <c r="E90" i="78"/>
  <c r="F90" i="78" s="1"/>
  <c r="D91" i="78" s="1"/>
  <c r="D74" i="83"/>
  <c r="E74" i="83" s="1"/>
  <c r="F74" i="83" s="1"/>
  <c r="C77" i="83"/>
  <c r="E74" i="73"/>
  <c r="F74" i="73" s="1"/>
  <c r="G74" i="73" s="1"/>
  <c r="D63" i="67"/>
  <c r="G63" i="67"/>
  <c r="N53" i="55"/>
  <c r="P21" i="54"/>
  <c r="P23" i="59"/>
  <c r="E19" i="54"/>
  <c r="D22" i="59"/>
  <c r="I69" i="55"/>
  <c r="E37" i="58"/>
  <c r="F28" i="59"/>
  <c r="D29" i="59" s="1"/>
  <c r="E29" i="59" s="1"/>
  <c r="E28" i="56"/>
  <c r="D76" i="71" l="1"/>
  <c r="E76" i="71" s="1"/>
  <c r="F76" i="71" s="1"/>
  <c r="G76" i="71"/>
  <c r="H76" i="71" s="1"/>
  <c r="F73" i="72"/>
  <c r="D74" i="72" s="1"/>
  <c r="E74" i="72" s="1"/>
  <c r="F29" i="59"/>
  <c r="E91" i="78"/>
  <c r="F91" i="78" s="1"/>
  <c r="D92" i="78" s="1"/>
  <c r="D75" i="83"/>
  <c r="E75" i="83" s="1"/>
  <c r="F75" i="83" s="1"/>
  <c r="C78" i="83"/>
  <c r="H63" i="67"/>
  <c r="U211" i="63"/>
  <c r="E63" i="67"/>
  <c r="F63" i="67" s="1"/>
  <c r="K72" i="61"/>
  <c r="P72" i="61" s="1"/>
  <c r="O71" i="61"/>
  <c r="N69" i="55"/>
  <c r="J70" i="55"/>
  <c r="O70" i="55" s="1"/>
  <c r="F19" i="54"/>
  <c r="E22" i="59"/>
  <c r="P22" i="54"/>
  <c r="P24" i="59"/>
  <c r="K40" i="58"/>
  <c r="J37" i="58" s="1"/>
  <c r="F44" i="57"/>
  <c r="P43" i="57" s="1"/>
  <c r="F28" i="56"/>
  <c r="D29" i="56" s="1"/>
  <c r="E29" i="56" s="1"/>
  <c r="F29" i="56" s="1"/>
  <c r="F74" i="72" l="1"/>
  <c r="E92" i="78"/>
  <c r="F92" i="78" s="1"/>
  <c r="D93" i="78" s="1"/>
  <c r="E93" i="78" s="1"/>
  <c r="F93" i="78" s="1"/>
  <c r="D76" i="83"/>
  <c r="E76" i="83" s="1"/>
  <c r="F76" i="83" s="1"/>
  <c r="U210" i="63"/>
  <c r="T208" i="63"/>
  <c r="G64" i="67"/>
  <c r="H64" i="67" s="1"/>
  <c r="D64" i="67"/>
  <c r="E64" i="67" s="1"/>
  <c r="F64" i="67" s="1"/>
  <c r="J77" i="61"/>
  <c r="O77" i="61"/>
  <c r="F22" i="59"/>
  <c r="D20" i="54"/>
  <c r="P23" i="54"/>
  <c r="P24" i="54" s="1"/>
  <c r="P25" i="54" s="1"/>
  <c r="P26" i="54" s="1"/>
  <c r="P27" i="54" s="1"/>
  <c r="P28" i="54" s="1"/>
  <c r="P29" i="54" s="1"/>
  <c r="P30" i="54" s="1"/>
  <c r="P31" i="54" s="1"/>
  <c r="P32" i="54" s="1"/>
  <c r="P33" i="54" s="1"/>
  <c r="P34" i="54" s="1"/>
  <c r="P35" i="54" s="1"/>
  <c r="P25" i="59"/>
  <c r="H4" i="59" s="1"/>
  <c r="O37" i="58"/>
  <c r="D77" i="83" l="1"/>
  <c r="E77" i="83" s="1"/>
  <c r="F77" i="83" s="1"/>
  <c r="G65" i="67"/>
  <c r="H65" i="67" s="1"/>
  <c r="D65" i="67"/>
  <c r="E65" i="67" s="1"/>
  <c r="F65" i="67" s="1"/>
  <c r="E20" i="54"/>
  <c r="D23" i="59"/>
  <c r="D78" i="83" l="1"/>
  <c r="E78" i="83" s="1"/>
  <c r="F78" i="83" s="1"/>
  <c r="G66" i="67"/>
  <c r="H66" i="67" s="1"/>
  <c r="D66" i="67"/>
  <c r="E66" i="67" s="1"/>
  <c r="F66" i="67" s="1"/>
  <c r="F20" i="54"/>
  <c r="E23" i="59"/>
  <c r="G67" i="67" l="1"/>
  <c r="H67" i="67" s="1"/>
  <c r="D67" i="67"/>
  <c r="E67" i="67" s="1"/>
  <c r="F67" i="67" s="1"/>
  <c r="P73" i="57"/>
  <c r="F23" i="59"/>
  <c r="D21" i="54"/>
  <c r="G68" i="67" l="1"/>
  <c r="H68" i="67" s="1"/>
  <c r="D68" i="67"/>
  <c r="E68" i="67" s="1"/>
  <c r="F68" i="67" s="1"/>
  <c r="E21" i="54"/>
  <c r="D24" i="59"/>
  <c r="D69" i="67" l="1"/>
  <c r="E69" i="67" s="1"/>
  <c r="F69" i="67" s="1"/>
  <c r="G69" i="67"/>
  <c r="H69" i="67" s="1"/>
  <c r="F21" i="54"/>
  <c r="E24" i="59"/>
  <c r="G70" i="67" l="1"/>
  <c r="H70" i="67" s="1"/>
  <c r="D70" i="67"/>
  <c r="E70" i="67" s="1"/>
  <c r="F70" i="67" s="1"/>
  <c r="F24" i="59"/>
  <c r="D22" i="54"/>
  <c r="D71" i="67" l="1"/>
  <c r="E71" i="67" s="1"/>
  <c r="F71" i="67" s="1"/>
  <c r="G71" i="67"/>
  <c r="H71" i="67" s="1"/>
  <c r="E22" i="54"/>
  <c r="D25" i="59"/>
  <c r="F22" i="54" l="1"/>
  <c r="E25" i="59"/>
  <c r="M42" i="2"/>
  <c r="M41" i="2"/>
  <c r="I38" i="2"/>
  <c r="N39" i="2" s="1"/>
  <c r="H37" i="2"/>
  <c r="M33" i="2"/>
  <c r="N32" i="2"/>
  <c r="M31" i="2"/>
  <c r="F25" i="59" l="1"/>
  <c r="D23" i="54"/>
  <c r="M22" i="2"/>
  <c r="M21" i="2"/>
  <c r="C37" i="2"/>
  <c r="C66" i="2" s="1"/>
  <c r="M66" i="2" l="1"/>
  <c r="C96" i="2"/>
  <c r="M96" i="2" s="1"/>
  <c r="E23" i="54"/>
  <c r="D26" i="59"/>
  <c r="E9" i="58" s="1"/>
  <c r="K10" i="58" s="1"/>
  <c r="J9" i="58" s="1"/>
  <c r="O9" i="58" s="1"/>
  <c r="D49" i="2"/>
  <c r="D77" i="2" s="1"/>
  <c r="M37" i="2"/>
  <c r="O37" i="2"/>
  <c r="D38" i="2"/>
  <c r="N27" i="2"/>
  <c r="M26" i="2"/>
  <c r="N20" i="2"/>
  <c r="C18" i="2"/>
  <c r="M18" i="2" s="1"/>
  <c r="M8" i="2"/>
  <c r="M7" i="2"/>
  <c r="O35" i="25"/>
  <c r="O34" i="25"/>
  <c r="J110" i="2" s="1"/>
  <c r="O33" i="25"/>
  <c r="O32" i="25"/>
  <c r="O31" i="25"/>
  <c r="O30" i="25"/>
  <c r="O29" i="25"/>
  <c r="O28" i="25"/>
  <c r="O27" i="25"/>
  <c r="O26" i="25"/>
  <c r="O25" i="25"/>
  <c r="O24" i="25"/>
  <c r="O23" i="25"/>
  <c r="O22" i="25"/>
  <c r="O21" i="25"/>
  <c r="O20" i="25"/>
  <c r="O19" i="25"/>
  <c r="O18" i="25"/>
  <c r="O17" i="25"/>
  <c r="O16" i="25"/>
  <c r="E16" i="25"/>
  <c r="E19" i="56" s="1"/>
  <c r="C15" i="25"/>
  <c r="C11" i="25" s="1"/>
  <c r="O110" i="2" l="1"/>
  <c r="K111" i="2"/>
  <c r="P111" i="2" s="1"/>
  <c r="N77" i="2"/>
  <c r="D104" i="2"/>
  <c r="N104" i="2" s="1"/>
  <c r="F23" i="54"/>
  <c r="E26" i="59"/>
  <c r="E8" i="58" s="1"/>
  <c r="J55" i="2"/>
  <c r="N38" i="2"/>
  <c r="D67" i="2"/>
  <c r="J26" i="2"/>
  <c r="K27" i="2" s="1"/>
  <c r="P27" i="2" s="1"/>
  <c r="O11" i="25"/>
  <c r="C47" i="2"/>
  <c r="C75" i="2" s="1"/>
  <c r="N49" i="2"/>
  <c r="N67" i="2" l="1"/>
  <c r="M75" i="2"/>
  <c r="C102" i="2"/>
  <c r="M102" i="2" s="1"/>
  <c r="K11" i="58"/>
  <c r="J8" i="58" s="1"/>
  <c r="E70" i="58"/>
  <c r="F26" i="59"/>
  <c r="B7" i="59" s="1"/>
  <c r="B8" i="59" s="1"/>
  <c r="D24" i="54"/>
  <c r="E24" i="54" s="1"/>
  <c r="F24" i="54" s="1"/>
  <c r="D25" i="54" s="1"/>
  <c r="E25" i="54" s="1"/>
  <c r="F25" i="54" s="1"/>
  <c r="D26" i="54" s="1"/>
  <c r="E26" i="54" s="1"/>
  <c r="F26" i="54" s="1"/>
  <c r="D27" i="54" s="1"/>
  <c r="E27" i="54" s="1"/>
  <c r="F27" i="54" s="1"/>
  <c r="D28" i="54" s="1"/>
  <c r="E28" i="54" s="1"/>
  <c r="F28" i="54" s="1"/>
  <c r="D29" i="54" s="1"/>
  <c r="E29" i="54" s="1"/>
  <c r="F29" i="54" s="1"/>
  <c r="D30" i="54" s="1"/>
  <c r="E30" i="54" s="1"/>
  <c r="F30" i="54" s="1"/>
  <c r="D31" i="54" s="1"/>
  <c r="E31" i="54" s="1"/>
  <c r="F31" i="54" s="1"/>
  <c r="D32" i="54" s="1"/>
  <c r="E32" i="54" s="1"/>
  <c r="F32" i="54" s="1"/>
  <c r="D33" i="54" s="1"/>
  <c r="E33" i="54" s="1"/>
  <c r="F33" i="54" s="1"/>
  <c r="O26" i="2"/>
  <c r="O55" i="2"/>
  <c r="K56" i="2"/>
  <c r="P56" i="2" s="1"/>
  <c r="E9" i="2"/>
  <c r="O8" i="2" s="1"/>
  <c r="D17" i="25"/>
  <c r="H6" i="25"/>
  <c r="S15" i="25" s="1"/>
  <c r="M47" i="2"/>
  <c r="S18" i="56" l="1"/>
  <c r="D34" i="54"/>
  <c r="E34" i="54" s="1"/>
  <c r="F34" i="54" s="1"/>
  <c r="D35" i="54" s="1"/>
  <c r="E35" i="54" s="1"/>
  <c r="F11" i="2"/>
  <c r="P10" i="2" s="1"/>
  <c r="R14" i="25"/>
  <c r="H5" i="59"/>
  <c r="J16" i="58"/>
  <c r="O16" i="58" s="1"/>
  <c r="O8" i="58"/>
  <c r="K32" i="2"/>
  <c r="J31" i="2" s="1"/>
  <c r="D20" i="56"/>
  <c r="F39" i="2"/>
  <c r="E17" i="25"/>
  <c r="D91" i="55" l="1"/>
  <c r="H6" i="59"/>
  <c r="O17" i="59" s="1"/>
  <c r="K17" i="58"/>
  <c r="P17" i="58" s="1"/>
  <c r="E20" i="56"/>
  <c r="P36" i="57"/>
  <c r="P32" i="2"/>
  <c r="O31" i="2"/>
  <c r="K38" i="2"/>
  <c r="F17" i="25"/>
  <c r="F38" i="2"/>
  <c r="R21" i="25"/>
  <c r="R24" i="56" s="1"/>
  <c r="R25" i="25"/>
  <c r="R33" i="25"/>
  <c r="R17" i="25"/>
  <c r="R24" i="25"/>
  <c r="R29" i="25"/>
  <c r="R28" i="25"/>
  <c r="R18" i="25"/>
  <c r="E75" i="2" s="1"/>
  <c r="R22" i="25"/>
  <c r="R25" i="56" s="1"/>
  <c r="R26" i="25"/>
  <c r="R30" i="25"/>
  <c r="R34" i="25"/>
  <c r="R16" i="25"/>
  <c r="S16" i="25" s="1"/>
  <c r="R19" i="25"/>
  <c r="R22" i="56" s="1"/>
  <c r="R23" i="25"/>
  <c r="R27" i="25"/>
  <c r="R31" i="25"/>
  <c r="E102" i="2"/>
  <c r="R20" i="25"/>
  <c r="R23" i="56" s="1"/>
  <c r="R32" i="25"/>
  <c r="O7" i="2"/>
  <c r="O28" i="59" l="1"/>
  <c r="J45" i="58" s="1"/>
  <c r="O29" i="59"/>
  <c r="J66" i="58" s="1"/>
  <c r="O27" i="59"/>
  <c r="R11" i="25"/>
  <c r="N91" i="55"/>
  <c r="I91" i="55"/>
  <c r="O102" i="2"/>
  <c r="F104" i="2"/>
  <c r="P104" i="2" s="1"/>
  <c r="P26" i="59"/>
  <c r="R19" i="56"/>
  <c r="R20" i="56"/>
  <c r="R21" i="56"/>
  <c r="F77" i="2"/>
  <c r="O35" i="57"/>
  <c r="D18" i="25"/>
  <c r="E18" i="25" s="1"/>
  <c r="F20" i="56"/>
  <c r="P38" i="2"/>
  <c r="E47" i="2"/>
  <c r="E18" i="2"/>
  <c r="J37" i="2"/>
  <c r="P39" i="2"/>
  <c r="K67" i="58" l="1"/>
  <c r="P68" i="58" s="1"/>
  <c r="O67" i="58"/>
  <c r="J23" i="58"/>
  <c r="O47" i="2"/>
  <c r="P40" i="2"/>
  <c r="E48" i="2"/>
  <c r="O48" i="2" s="1"/>
  <c r="F20" i="2"/>
  <c r="P20" i="2" s="1"/>
  <c r="E21" i="56"/>
  <c r="F67" i="2"/>
  <c r="P77" i="2"/>
  <c r="O75" i="2"/>
  <c r="S17" i="25"/>
  <c r="S19" i="56"/>
  <c r="D21" i="56"/>
  <c r="K61" i="2"/>
  <c r="P61" i="2" s="1"/>
  <c r="F68" i="2"/>
  <c r="O18" i="2"/>
  <c r="F18" i="25"/>
  <c r="O24" i="58" l="1"/>
  <c r="K24" i="58"/>
  <c r="P25" i="58" s="1"/>
  <c r="P27" i="59"/>
  <c r="P28" i="59" s="1"/>
  <c r="P29" i="59" s="1"/>
  <c r="O45" i="58"/>
  <c r="F49" i="2"/>
  <c r="J60" i="2"/>
  <c r="P67" i="2"/>
  <c r="P69" i="2"/>
  <c r="S20" i="56"/>
  <c r="S18" i="25"/>
  <c r="D19" i="25"/>
  <c r="F21" i="56"/>
  <c r="O60" i="2" l="1"/>
  <c r="K67" i="2"/>
  <c r="K46" i="58"/>
  <c r="P48" i="58" s="1"/>
  <c r="S19" i="25"/>
  <c r="S21" i="56"/>
  <c r="E19" i="25"/>
  <c r="E22" i="56" s="1"/>
  <c r="J88" i="2"/>
  <c r="D22" i="56"/>
  <c r="J66" i="2" l="1"/>
  <c r="P68" i="2"/>
  <c r="J70" i="58"/>
  <c r="K89" i="2"/>
  <c r="P89" i="2" s="1"/>
  <c r="O88" i="2"/>
  <c r="S20" i="25"/>
  <c r="S22" i="56"/>
  <c r="F19" i="25"/>
  <c r="S21" i="25" l="1"/>
  <c r="S23" i="56"/>
  <c r="D20" i="25"/>
  <c r="F22" i="56"/>
  <c r="E20" i="25" l="1"/>
  <c r="E23" i="56" s="1"/>
  <c r="D23" i="56"/>
  <c r="S22" i="25"/>
  <c r="S24" i="56"/>
  <c r="S23" i="25" l="1"/>
  <c r="S24" i="25" s="1"/>
  <c r="S25" i="25" s="1"/>
  <c r="S26" i="25" s="1"/>
  <c r="S27" i="25" s="1"/>
  <c r="S28" i="25" s="1"/>
  <c r="S29" i="25" s="1"/>
  <c r="S30" i="25" s="1"/>
  <c r="S31" i="25" s="1"/>
  <c r="S32" i="25" s="1"/>
  <c r="S33" i="25" s="1"/>
  <c r="S34" i="25" s="1"/>
  <c r="S35" i="25" s="1"/>
  <c r="S25" i="56"/>
  <c r="H4" i="56" s="1"/>
  <c r="F20" i="25"/>
  <c r="D21" i="25" l="1"/>
  <c r="F23" i="56"/>
  <c r="E21" i="25" l="1"/>
  <c r="E24" i="56" s="1"/>
  <c r="D24" i="56"/>
  <c r="F21" i="25" l="1"/>
  <c r="D22" i="25" l="1"/>
  <c r="F24" i="56"/>
  <c r="E22" i="25" l="1"/>
  <c r="D25" i="56"/>
  <c r="E25" i="56" l="1"/>
  <c r="F22" i="25"/>
  <c r="D23" i="25" l="1"/>
  <c r="F25" i="56"/>
  <c r="E23" i="25" l="1"/>
  <c r="D26" i="56"/>
  <c r="F8" i="57" s="1"/>
  <c r="J7" i="57" s="1"/>
  <c r="K8" i="57" l="1"/>
  <c r="P9" i="57" s="1"/>
  <c r="E26" i="56"/>
  <c r="F9" i="57" s="1"/>
  <c r="P8" i="57" s="1"/>
  <c r="F23" i="25"/>
  <c r="J84" i="57" l="1"/>
  <c r="D24" i="25"/>
  <c r="E24" i="25" s="1"/>
  <c r="F24" i="25" s="1"/>
  <c r="F26" i="56"/>
  <c r="B8" i="56" s="1"/>
  <c r="B9" i="56" s="1"/>
  <c r="F16" i="57" s="1"/>
  <c r="D25" i="25" l="1"/>
  <c r="E25" i="25" s="1"/>
  <c r="F25" i="25" s="1"/>
  <c r="H5" i="56"/>
  <c r="E15" i="57" s="1"/>
  <c r="P16" i="57"/>
  <c r="D26" i="25" l="1"/>
  <c r="E26" i="25" s="1"/>
  <c r="F26" i="25" s="1"/>
  <c r="H6" i="56"/>
  <c r="R17" i="56" s="1"/>
  <c r="S26" i="56" l="1"/>
  <c r="O15" i="57"/>
  <c r="D27" i="25"/>
  <c r="E27" i="25" s="1"/>
  <c r="F27" i="25" s="1"/>
  <c r="R28" i="56" l="1"/>
  <c r="E49" i="57" s="1"/>
  <c r="F51" i="57" s="1"/>
  <c r="P51" i="57" s="1"/>
  <c r="R27" i="56"/>
  <c r="S27" i="56" s="1"/>
  <c r="S28" i="56" s="1"/>
  <c r="S29" i="56" s="1"/>
  <c r="D28" i="25"/>
  <c r="E28" i="25" s="1"/>
  <c r="F28" i="25" s="1"/>
  <c r="E22" i="57" l="1"/>
  <c r="F24" i="57" s="1"/>
  <c r="E84" i="57" s="1"/>
  <c r="O49" i="57"/>
  <c r="D29" i="25"/>
  <c r="E29" i="25" s="1"/>
  <c r="F29" i="25" s="1"/>
  <c r="O22" i="57" l="1"/>
  <c r="P24" i="57"/>
  <c r="D30" i="25"/>
  <c r="E30" i="25" s="1"/>
  <c r="F30" i="25" s="1"/>
  <c r="P49" i="2"/>
  <c r="O84" i="57" l="1"/>
  <c r="D31" i="25"/>
  <c r="E31" i="25" s="1"/>
  <c r="F31" i="25" s="1"/>
  <c r="D32" i="25" l="1"/>
  <c r="E32" i="25" s="1"/>
  <c r="F32" i="25" s="1"/>
  <c r="D33" i="25" l="1"/>
  <c r="E33" i="25" s="1"/>
  <c r="F33" i="25" s="1"/>
  <c r="D34" i="25" s="1"/>
  <c r="E34" i="25" s="1"/>
  <c r="F34" i="25" s="1"/>
  <c r="D35" i="25" s="1"/>
  <c r="K42" i="67"/>
  <c r="E35" i="25" l="1"/>
  <c r="L42" i="67"/>
  <c r="M42" i="67" s="1"/>
  <c r="P43" i="67" s="1"/>
  <c r="Q43" i="67" l="1"/>
  <c r="P250" i="63"/>
  <c r="J118" i="2"/>
  <c r="E118" i="2"/>
  <c r="K43" i="67"/>
  <c r="L43" i="67" s="1"/>
  <c r="M43" i="67" s="1"/>
  <c r="U250" i="63" l="1"/>
  <c r="O247" i="63"/>
  <c r="O118" i="2"/>
  <c r="P44" i="67"/>
  <c r="Q44" i="67" s="1"/>
  <c r="K44" i="67"/>
  <c r="L44" i="67" s="1"/>
  <c r="M44" i="67" s="1"/>
  <c r="P45" i="67" s="1"/>
  <c r="T247" i="63" l="1"/>
  <c r="Q45" i="67"/>
  <c r="K45" i="67"/>
  <c r="L45" i="67" s="1"/>
  <c r="M45" i="67" s="1"/>
  <c r="P46" i="67" s="1"/>
  <c r="Q46" i="67" l="1"/>
  <c r="K46" i="67"/>
  <c r="L46" i="67" s="1"/>
  <c r="M46" i="67" s="1"/>
  <c r="P47" i="67" s="1"/>
  <c r="Q47" i="67" l="1"/>
  <c r="K47" i="67"/>
  <c r="L47" i="67" s="1"/>
  <c r="M47" i="67" s="1"/>
  <c r="P48" i="67" s="1"/>
  <c r="Q48" i="67" l="1"/>
  <c r="K48" i="67"/>
  <c r="L48" i="67" s="1"/>
  <c r="M48" i="67" s="1"/>
  <c r="P49" i="67" s="1"/>
  <c r="Q49" i="67" l="1"/>
  <c r="K49" i="67"/>
  <c r="L49" i="67" s="1"/>
  <c r="M49" i="67" s="1"/>
  <c r="P50" i="67" s="1"/>
  <c r="Q50" i="67" l="1"/>
  <c r="K50" i="67"/>
  <c r="L50" i="67" s="1"/>
  <c r="M50" i="67" s="1"/>
  <c r="P51" i="67" s="1"/>
  <c r="Q51" i="67" l="1"/>
  <c r="K51" i="67"/>
  <c r="L51" i="67" s="1"/>
  <c r="M51" i="67" s="1"/>
  <c r="P52" i="67" s="1"/>
  <c r="Q52" i="67" l="1"/>
  <c r="K52" i="67"/>
  <c r="L52" i="67" s="1"/>
  <c r="M52" i="67" s="1"/>
  <c r="P53" i="67" s="1"/>
  <c r="Q53" i="67" l="1"/>
  <c r="K53" i="67"/>
  <c r="L53" i="67" s="1"/>
  <c r="M53" i="67" s="1"/>
  <c r="P54" i="67" s="1"/>
  <c r="Q54" i="67" l="1"/>
  <c r="K54" i="67"/>
  <c r="L54" i="67" s="1"/>
  <c r="M54" i="67" s="1"/>
  <c r="P55" i="67" l="1"/>
  <c r="Q55" i="67" s="1"/>
  <c r="K55" i="67"/>
  <c r="L55" i="67" s="1"/>
  <c r="M55" i="67" s="1"/>
  <c r="P56" i="67" l="1"/>
  <c r="Q56" i="67" s="1"/>
  <c r="K56" i="67"/>
  <c r="L56" i="67" s="1"/>
  <c r="M56" i="67" s="1"/>
  <c r="P57" i="67" l="1"/>
  <c r="Q57" i="67" s="1"/>
  <c r="K57" i="67"/>
  <c r="L57" i="67" s="1"/>
  <c r="M57" i="67" s="1"/>
  <c r="P58" i="67" l="1"/>
  <c r="Q58" i="67" s="1"/>
  <c r="K58" i="67"/>
  <c r="L58" i="67" s="1"/>
  <c r="M58" i="67" s="1"/>
  <c r="P59" i="67" l="1"/>
  <c r="Q59" i="67" s="1"/>
  <c r="K59" i="67"/>
  <c r="L59" i="67" s="1"/>
  <c r="M59" i="67" s="1"/>
  <c r="P60" i="67" l="1"/>
  <c r="Q60" i="67" s="1"/>
  <c r="K60" i="67"/>
  <c r="L60" i="67" s="1"/>
  <c r="M60" i="67" s="1"/>
  <c r="P61" i="67" l="1"/>
  <c r="Q61" i="67" s="1"/>
  <c r="K61" i="67"/>
  <c r="L61" i="67" s="1"/>
  <c r="M61" i="67" s="1"/>
  <c r="P62" i="67" l="1"/>
  <c r="Q62" i="67"/>
  <c r="K62" i="67"/>
  <c r="L62" i="67" s="1"/>
  <c r="M62" i="67" s="1"/>
  <c r="P63" i="67" l="1"/>
  <c r="Q63" i="67" s="1"/>
  <c r="K63" i="67"/>
  <c r="L63" i="67" s="1"/>
  <c r="M63" i="67" s="1"/>
  <c r="P64" i="67" l="1"/>
  <c r="Q64" i="67" s="1"/>
  <c r="K64" i="67"/>
  <c r="L64" i="67" s="1"/>
  <c r="M64" i="67" s="1"/>
  <c r="P65" i="67" s="1"/>
  <c r="Q65" i="67" l="1"/>
  <c r="K65" i="67"/>
  <c r="L65" i="67" s="1"/>
  <c r="M65" i="67" s="1"/>
  <c r="P66" i="67" s="1"/>
  <c r="Q66" i="67" l="1"/>
  <c r="K66" i="67"/>
  <c r="L66" i="67" s="1"/>
  <c r="M66" i="67" s="1"/>
  <c r="P67" i="67" s="1"/>
  <c r="Q67" i="67" s="1"/>
  <c r="K67" i="67" l="1"/>
  <c r="L67" i="67" s="1"/>
  <c r="M67" i="67" s="1"/>
  <c r="P68" i="67" s="1"/>
  <c r="Q68" i="67" s="1"/>
  <c r="K68" i="67" l="1"/>
  <c r="L68" i="67" s="1"/>
  <c r="M68" i="67" s="1"/>
  <c r="P69" i="67" s="1"/>
  <c r="Q69" i="67" s="1"/>
  <c r="K69" i="67" l="1"/>
  <c r="L69" i="67" s="1"/>
  <c r="M69" i="67" s="1"/>
  <c r="P70" i="67" s="1"/>
  <c r="Q70" i="67" s="1"/>
  <c r="K70" i="67" l="1"/>
  <c r="L70" i="67" s="1"/>
  <c r="M70" i="67" s="1"/>
  <c r="P71" i="67" l="1"/>
  <c r="Q71" i="67" s="1"/>
  <c r="K71" i="67"/>
  <c r="L71" i="67" s="1"/>
  <c r="M71" i="67" s="1"/>
  <c r="P72" i="67" s="1"/>
  <c r="Q72" i="67" l="1"/>
  <c r="K72" i="67"/>
  <c r="L72" i="67" s="1"/>
  <c r="M72" i="67" s="1"/>
  <c r="P73" i="67" s="1"/>
  <c r="Q73" i="67" l="1"/>
  <c r="K73" i="67"/>
  <c r="L73" i="67" s="1"/>
  <c r="M73" i="67" s="1"/>
  <c r="P74" i="67" s="1"/>
  <c r="Q74" i="67" l="1"/>
  <c r="K74" i="67"/>
  <c r="L74" i="67" s="1"/>
  <c r="M74" i="67" s="1"/>
</calcChain>
</file>

<file path=xl/sharedStrings.xml><?xml version="1.0" encoding="utf-8"?>
<sst xmlns="http://schemas.openxmlformats.org/spreadsheetml/2006/main" count="2221" uniqueCount="881">
  <si>
    <t>DR</t>
  </si>
  <si>
    <t>CR</t>
  </si>
  <si>
    <t>Cash</t>
  </si>
  <si>
    <t>Interest expense</t>
  </si>
  <si>
    <t xml:space="preserve">Principal </t>
  </si>
  <si>
    <t>Remaining Balance</t>
  </si>
  <si>
    <t>Annual Payment</t>
  </si>
  <si>
    <t>Payment Date</t>
  </si>
  <si>
    <t>Interest @</t>
  </si>
  <si>
    <t>20X3</t>
  </si>
  <si>
    <t>20X4</t>
  </si>
  <si>
    <t>20X5</t>
  </si>
  <si>
    <t>20X6</t>
  </si>
  <si>
    <t>20X7</t>
  </si>
  <si>
    <t>20X8</t>
  </si>
  <si>
    <t>20X9</t>
  </si>
  <si>
    <t>20Y0</t>
  </si>
  <si>
    <t>Existing old high school building</t>
  </si>
  <si>
    <t>Cost:</t>
  </si>
  <si>
    <t>General Fund</t>
  </si>
  <si>
    <t>Governmental Activities</t>
  </si>
  <si>
    <t>Deferred inflow of resources</t>
  </si>
  <si>
    <t>Interest income</t>
  </si>
  <si>
    <t>[To record amortization of deferred inflow of resources</t>
  </si>
  <si>
    <t>Depreciation expense</t>
  </si>
  <si>
    <t>Accumulated depreciation - building</t>
  </si>
  <si>
    <t>FYE 20X2</t>
  </si>
  <si>
    <t>Interest receivable</t>
  </si>
  <si>
    <t>Interest payable</t>
  </si>
  <si>
    <t>Start date</t>
  </si>
  <si>
    <t>Term (years)</t>
  </si>
  <si>
    <t>Prepayment</t>
  </si>
  <si>
    <t>[To record depreciation of old high school building]</t>
  </si>
  <si>
    <t>Outstanding Balance</t>
  </si>
  <si>
    <t>Principal Payment</t>
  </si>
  <si>
    <t>End date</t>
  </si>
  <si>
    <t>[No entry]</t>
  </si>
  <si>
    <t>Lease start date</t>
  </si>
  <si>
    <t xml:space="preserve">     to be exercised </t>
  </si>
  <si>
    <t>Annual lease payments by County to District</t>
  </si>
  <si>
    <t>Discount rate - assumed by lessee</t>
  </si>
  <si>
    <t>Old high school building (underlying asset)</t>
  </si>
  <si>
    <t>Carrying value at 6/30/2011</t>
  </si>
  <si>
    <t>Remaining estimated useful life (years)</t>
  </si>
  <si>
    <t>Annual depreciation of underlying asset</t>
  </si>
  <si>
    <t>District Depreciation Schedule</t>
  </si>
  <si>
    <t xml:space="preserve">Amortization of Lease Receivable </t>
  </si>
  <si>
    <t>District Deferred Inflows of Resources</t>
  </si>
  <si>
    <t>Lease receivable</t>
  </si>
  <si>
    <t>FYE 2013</t>
  </si>
  <si>
    <t>Lease revenue</t>
  </si>
  <si>
    <t>[To accrue interest receivable on lease]</t>
  </si>
  <si>
    <t>6/30/2013 a</t>
  </si>
  <si>
    <t>6/30/2013 b</t>
  </si>
  <si>
    <t>6/30/2013 c</t>
  </si>
  <si>
    <t>Lease asset</t>
  </si>
  <si>
    <t>Amortization of Lease Liability</t>
  </si>
  <si>
    <t>Base rent</t>
  </si>
  <si>
    <t>Interest rate charged to County</t>
  </si>
  <si>
    <t>FYE 2014</t>
  </si>
  <si>
    <t xml:space="preserve"> FYE 6/30/2013</t>
  </si>
  <si>
    <t>6/30/2014 a</t>
  </si>
  <si>
    <t>6/30/2014 b</t>
  </si>
  <si>
    <t>6/30/2014 c</t>
  </si>
  <si>
    <t>FYE 2015</t>
  </si>
  <si>
    <t>6/30/2015 a</t>
  </si>
  <si>
    <t>6/30/2015 b</t>
  </si>
  <si>
    <t>6/30/2015 c</t>
  </si>
  <si>
    <t>Entries for remaining years would follow same patter as those for FYEs 2014 &amp;2015</t>
  </si>
  <si>
    <t>[To record inception of lease with Example ISD and</t>
  </si>
  <si>
    <t>Amortization of Lease Asset</t>
  </si>
  <si>
    <t>Lease liability</t>
  </si>
  <si>
    <t>[To record amortization of lease asset and recognize</t>
  </si>
  <si>
    <t>rental expenditure]</t>
  </si>
  <si>
    <t>rental expense]</t>
  </si>
  <si>
    <t xml:space="preserve">Rental expense </t>
  </si>
  <si>
    <t>Rent and Prepayments</t>
  </si>
  <si>
    <t>[To accrue interest payable on lease]</t>
  </si>
  <si>
    <t>Capital outlay</t>
  </si>
  <si>
    <t>Other financing source</t>
  </si>
  <si>
    <t>Debt service expenditure - principal</t>
  </si>
  <si>
    <t>Debt service expenditure - interest</t>
  </si>
  <si>
    <t>[To record rental payment to lessor based on actual</t>
  </si>
  <si>
    <t>CY 2012 CPPI of 5%]</t>
  </si>
  <si>
    <t>Current annual rental ($120,000*140%)</t>
  </si>
  <si>
    <t>New incremental borrowing rate for County</t>
  </si>
  <si>
    <t>Current rent</t>
  </si>
  <si>
    <t>Revised remaining lease term / payments (years)</t>
  </si>
  <si>
    <t>NPV annual lease payments at 6/30/2020</t>
  </si>
  <si>
    <t>Change based on new assumptions</t>
  </si>
  <si>
    <t>Lease receivable balance before change</t>
  </si>
  <si>
    <t>Before change in assumptions</t>
  </si>
  <si>
    <t>Adjust by same amount as adjustment of lease receivable</t>
  </si>
  <si>
    <t>Adjusted balance of deferred inflows of resources</t>
  </si>
  <si>
    <t>FYE 2020</t>
  </si>
  <si>
    <t>6/30/2020 a</t>
  </si>
  <si>
    <t>6/30/2020 b</t>
  </si>
  <si>
    <t>6/30/2020 c</t>
  </si>
  <si>
    <t xml:space="preserve">[To record adjustments to deferred inflow of resources and </t>
  </si>
  <si>
    <t xml:space="preserve">lease receivable due to change in term and updating of </t>
  </si>
  <si>
    <t>index used to determine variable payments]</t>
  </si>
  <si>
    <t>lessee based on actual CY 2020]</t>
  </si>
  <si>
    <t>FYE 2021</t>
  </si>
  <si>
    <t>6/30/2021 a</t>
  </si>
  <si>
    <t>6/30/2021 b</t>
  </si>
  <si>
    <t>6/30/2021 c</t>
  </si>
  <si>
    <t>adjusted</t>
  </si>
  <si>
    <t>FYE 2022</t>
  </si>
  <si>
    <t>Interest rate assumed by County</t>
  </si>
  <si>
    <t xml:space="preserve">[To record receipt of annual rental payment from </t>
  </si>
  <si>
    <t>Lease payable</t>
  </si>
  <si>
    <t>Shaded = original</t>
  </si>
  <si>
    <t>original</t>
  </si>
  <si>
    <t>Annual Interest @</t>
  </si>
  <si>
    <t>7/1/X1</t>
  </si>
  <si>
    <t>Annual contractual payment</t>
  </si>
  <si>
    <t>Building</t>
  </si>
  <si>
    <t>Furniture &amp; fixtures</t>
  </si>
  <si>
    <t>Allocable to building use</t>
  </si>
  <si>
    <t>Allocable to furniture &amp; fixture use</t>
  </si>
  <si>
    <t>Allocable to operating costs</t>
  </si>
  <si>
    <t>Annual payment</t>
  </si>
  <si>
    <t>operating cost component</t>
  </si>
  <si>
    <t>lease component</t>
  </si>
  <si>
    <t>annual payments</t>
  </si>
  <si>
    <t>discount rate</t>
  </si>
  <si>
    <t>PV future lease payments</t>
  </si>
  <si>
    <t>Lease Receivable</t>
  </si>
  <si>
    <t>Years</t>
  </si>
  <si>
    <t>Total</t>
  </si>
  <si>
    <t>Discount rate</t>
  </si>
  <si>
    <t>Annual depreciation of underlying assets:</t>
  </si>
  <si>
    <t>7/1/20X1</t>
  </si>
  <si>
    <t>Unearned revenue - charges for services</t>
  </si>
  <si>
    <t xml:space="preserve">[To record inception of lease contract and receipt of </t>
  </si>
  <si>
    <t>prepayment for operating component of annual payment]</t>
  </si>
  <si>
    <t xml:space="preserve">[To record amortization of deferred inflow of resources </t>
  </si>
  <si>
    <t>and recognition of revenue for year]</t>
  </si>
  <si>
    <t>Accumulated depreciation - furniture &amp; fixtures</t>
  </si>
  <si>
    <t>[To record annual depreciation of underlying capital assets]</t>
  </si>
  <si>
    <t>[To record accrued interest receivable on lease]</t>
  </si>
  <si>
    <t>6/30/20X2 a</t>
  </si>
  <si>
    <t>6/30/20X2 b</t>
  </si>
  <si>
    <t>6/30/20X2 c</t>
  </si>
  <si>
    <t>Lease Receivable Amortization</t>
  </si>
  <si>
    <t>Lease Component of Payment</t>
  </si>
  <si>
    <t>FYE 20X3</t>
  </si>
  <si>
    <t>7/1/20X2</t>
  </si>
  <si>
    <t>6/30/20X3 a</t>
  </si>
  <si>
    <t>6/30/20X3 b</t>
  </si>
  <si>
    <t>6/30/20X3 c</t>
  </si>
  <si>
    <t>Lease Liability</t>
  </si>
  <si>
    <t>Lease Asset</t>
  </si>
  <si>
    <t>Lease Liability Amortization</t>
  </si>
  <si>
    <t>Building Lease with Variable Payments Determined by an Index and Variable Payments Depending on Future Events</t>
  </si>
  <si>
    <t>Example 1: Building Lease with Variable Payments Determined by an Index and Variable Payments Depending on Future Events</t>
  </si>
  <si>
    <t>Example 2: Change in Lease Term and Remeasurement of Lease Asset, Lease liability, Lease Receivable and Deferred Inflow of Resources Pertaining to a Lease</t>
  </si>
  <si>
    <t>Change in Lease Term and Remeasurement of Lease Receivable and Deferred Inflow of Resources Pertaining to a Lease</t>
  </si>
  <si>
    <t>Change in Lease Term and Remeasurement of Lease Asset and Lease Liability</t>
  </si>
  <si>
    <t>Contracts with Multiple Lease and Non-Lease Components</t>
  </si>
  <si>
    <t>Unearned revenue - lease payment</t>
  </si>
  <si>
    <t xml:space="preserve">Unearned revenue - lease payment </t>
  </si>
  <si>
    <t>recognize lease revenue for year]</t>
  </si>
  <si>
    <t>Prepaid rent</t>
  </si>
  <si>
    <t>Rental expenditure/expense</t>
  </si>
  <si>
    <t>[To record recognize rent expenditure]</t>
  </si>
  <si>
    <t>lease revenue]</t>
  </si>
  <si>
    <t>6/30/2022 b</t>
  </si>
  <si>
    <t>6/30/2022 a</t>
  </si>
  <si>
    <t>rent expense</t>
  </si>
  <si>
    <t>[To recognize rent expenditure]</t>
  </si>
  <si>
    <t>CY 2019</t>
  </si>
  <si>
    <t xml:space="preserve">Actual Insurance charge </t>
  </si>
  <si>
    <t>July 1, 2012</t>
  </si>
  <si>
    <t>July 1, 2013</t>
  </si>
  <si>
    <t>July 1, 2014</t>
  </si>
  <si>
    <t>Baseline</t>
  </si>
  <si>
    <t>CY 2012; 7/1/13 payment</t>
  </si>
  <si>
    <t>CY 2013; 7/1/14 payment</t>
  </si>
  <si>
    <t>Actual Insurance Charge</t>
  </si>
  <si>
    <t>Total Actual Payment</t>
  </si>
  <si>
    <t>Adjustment to Lease Expense for Year for Variable Payments</t>
  </si>
  <si>
    <t>Difference Between Actual and Expected Adjusted Base Rent</t>
  </si>
  <si>
    <t>Not applicable</t>
  </si>
  <si>
    <t>Actual Rental Payments and Adjustments to Rent Revenue</t>
  </si>
  <si>
    <t>This table would be completed over the life of the lease, as variable payment amounts are determined</t>
  </si>
  <si>
    <t xml:space="preserve">No change </t>
  </si>
  <si>
    <t>Adjusted 5/1/20</t>
  </si>
  <si>
    <t>Actual Rental Payments and Adjustments to Lease Expense</t>
  </si>
  <si>
    <t xml:space="preserve">CY 2020 (reduced by $120,000 base </t>
  </si>
  <si>
    <t>rent paid upon lease inception)</t>
  </si>
  <si>
    <t xml:space="preserve"> variable payment amounts]</t>
  </si>
  <si>
    <t>[To record adjustments to lease liability and lease</t>
  </si>
  <si>
    <t xml:space="preserve">asset due to change in term and updating of </t>
  </si>
  <si>
    <t>CY 2011 (baseline); 7/1/12 payment + prepayment</t>
  </si>
  <si>
    <t>July 1, 2031</t>
  </si>
  <si>
    <t>6/30/2031 a</t>
  </si>
  <si>
    <t>6/30/2031 b</t>
  </si>
  <si>
    <t>lessee based on actual CY 2030 CPPI]</t>
  </si>
  <si>
    <t>lessee based on actual CY 2013 CPPI of 1%]</t>
  </si>
  <si>
    <t>Entries for FYEs 2016-2030 would follow same patter as those for FYEs 2014 &amp;2015</t>
  </si>
  <si>
    <t>FYE 2032</t>
  </si>
  <si>
    <t>CY 2013 CPPI of 1%]</t>
  </si>
  <si>
    <t>CY 2030 CPPI]</t>
  </si>
  <si>
    <t>7/1/X2</t>
  </si>
  <si>
    <t>7/1/X3</t>
  </si>
  <si>
    <t>7/1/X4</t>
  </si>
  <si>
    <t>7/1/X5</t>
  </si>
  <si>
    <t>7/1/X6</t>
  </si>
  <si>
    <t>7/1/X7</t>
  </si>
  <si>
    <t>7/1/X8</t>
  </si>
  <si>
    <t>7/1/X9</t>
  </si>
  <si>
    <t>7/1/Y0</t>
  </si>
  <si>
    <t>6/30/Y1</t>
  </si>
  <si>
    <t>20Y1</t>
  </si>
  <si>
    <t>FYE 20X4</t>
  </si>
  <si>
    <t>7/1/20X3</t>
  </si>
  <si>
    <t>6/30/20X4 a</t>
  </si>
  <si>
    <t>6/30/20X4 b</t>
  </si>
  <si>
    <t>6/30/20X4 c</t>
  </si>
  <si>
    <t>Lease Asset Value</t>
  </si>
  <si>
    <t>Building lease component</t>
  </si>
  <si>
    <t>Furniture &amp; fixtures lease component</t>
  </si>
  <si>
    <t>PV future furniture &amp; fixtures lease payments</t>
  </si>
  <si>
    <t>Furniture &amp; Fixtures</t>
  </si>
  <si>
    <t>PV future lease payments - total</t>
  </si>
  <si>
    <t>Total Lease Asset in Contract</t>
  </si>
  <si>
    <t>Building lease liability</t>
  </si>
  <si>
    <t>Building lease prepayment</t>
  </si>
  <si>
    <t>Building lease asset</t>
  </si>
  <si>
    <t>Furniture &amp; fixtures lease liability</t>
  </si>
  <si>
    <t>Furniture &amp; fixtures lease prepayment</t>
  </si>
  <si>
    <t>Furniture &amp; Fixtures lease asset</t>
  </si>
  <si>
    <t>Lease asset - building</t>
  </si>
  <si>
    <t>Lease asset - furniture &amp; fixtures</t>
  </si>
  <si>
    <t>PV future building lease payments (round adj.)</t>
  </si>
  <si>
    <t>[To record expenditures for services provided by Example</t>
  </si>
  <si>
    <t>ISD during year]</t>
  </si>
  <si>
    <t>[To record rent payment to lessor]</t>
  </si>
  <si>
    <t>differences between years due to rounding</t>
  </si>
  <si>
    <t>Example 4: Refunding and Defeasance by Lessor Benefiting Lessee</t>
  </si>
  <si>
    <t>Payment</t>
  </si>
  <si>
    <t>Interest</t>
  </si>
  <si>
    <t>Principal</t>
  </si>
  <si>
    <t>Building cost</t>
  </si>
  <si>
    <t>Par value of GO bonds issued</t>
  </si>
  <si>
    <t>Costs of issuance</t>
  </si>
  <si>
    <t>Underwriter's discount</t>
  </si>
  <si>
    <t>Original Bond Issuance</t>
  </si>
  <si>
    <t>Issuance date</t>
  </si>
  <si>
    <t>7/1/20A0</t>
  </si>
  <si>
    <t>7/1/20A1</t>
  </si>
  <si>
    <t>7/1/20A2</t>
  </si>
  <si>
    <t>7/1/20A3</t>
  </si>
  <si>
    <t>7/1/20A4</t>
  </si>
  <si>
    <t>7/1/20A5</t>
  </si>
  <si>
    <t>7/1/20A6</t>
  </si>
  <si>
    <t>7/1/20A7</t>
  </si>
  <si>
    <t>7/1/20A8</t>
  </si>
  <si>
    <t>7/1/20A9</t>
  </si>
  <si>
    <t>7/1/20B0</t>
  </si>
  <si>
    <t>7/1/20B1</t>
  </si>
  <si>
    <t>7/1/20B2</t>
  </si>
  <si>
    <t>7/1/20B3</t>
  </si>
  <si>
    <t>7/1/20B4</t>
  </si>
  <si>
    <t>7/1/20B5</t>
  </si>
  <si>
    <t>7/1/20B6</t>
  </si>
  <si>
    <t>7/1/20B7</t>
  </si>
  <si>
    <t>7/1/20B8</t>
  </si>
  <si>
    <t>7/1/20B9</t>
  </si>
  <si>
    <t>7/1/20C0</t>
  </si>
  <si>
    <t>7/1/20C1</t>
  </si>
  <si>
    <t>7/1/20C2</t>
  </si>
  <si>
    <t>7/1/20C3</t>
  </si>
  <si>
    <t>7/1/20C4</t>
  </si>
  <si>
    <t>7/1/20C5</t>
  </si>
  <si>
    <t>7/1/20C6</t>
  </si>
  <si>
    <t>7/1/20C7</t>
  </si>
  <si>
    <t>7/1/20C8</t>
  </si>
  <si>
    <t>7/1/20C9</t>
  </si>
  <si>
    <t>7/1/20D0</t>
  </si>
  <si>
    <t>7/1/20D1</t>
  </si>
  <si>
    <t>7/1/20D2</t>
  </si>
  <si>
    <t>7/1/20D3</t>
  </si>
  <si>
    <t>7/1/20D4</t>
  </si>
  <si>
    <t>7/1/20D5</t>
  </si>
  <si>
    <t>7/1/20D6</t>
  </si>
  <si>
    <t>7/1/20D7</t>
  </si>
  <si>
    <t>7/1/20D8</t>
  </si>
  <si>
    <t>7/1/20D9</t>
  </si>
  <si>
    <t>Current Refunding Issuance</t>
  </si>
  <si>
    <t>Contract inception</t>
  </si>
  <si>
    <t>Interest rate</t>
  </si>
  <si>
    <t>Par value of refunding bonds</t>
  </si>
  <si>
    <t>Call premium (2%)</t>
  </si>
  <si>
    <t>Original Bond Issue</t>
  </si>
  <si>
    <t>Refunding Bond Issue</t>
  </si>
  <si>
    <t xml:space="preserve">Remeasured Lease </t>
  </si>
  <si>
    <t>Prepayments (3yrs)</t>
  </si>
  <si>
    <t>20E1</t>
  </si>
  <si>
    <t>FYE</t>
  </si>
  <si>
    <t>Annual Lease Payment*</t>
  </si>
  <si>
    <t>Depreciation of Underlying Asset (Building)</t>
  </si>
  <si>
    <t>20E2</t>
  </si>
  <si>
    <t>20E3</t>
  </si>
  <si>
    <t>20E4</t>
  </si>
  <si>
    <t>20E5</t>
  </si>
  <si>
    <t>20E6</t>
  </si>
  <si>
    <t>20E7</t>
  </si>
  <si>
    <t>20E8</t>
  </si>
  <si>
    <t>20E9</t>
  </si>
  <si>
    <t>20F0</t>
  </si>
  <si>
    <t>20F1</t>
  </si>
  <si>
    <t>20F2</t>
  </si>
  <si>
    <t>20F3</t>
  </si>
  <si>
    <t>Lease Receivable - Original</t>
  </si>
  <si>
    <t>Lease Receivable - Modified</t>
  </si>
  <si>
    <t># annual payments</t>
  </si>
  <si>
    <t>Original Lease Receivable Amortization</t>
  </si>
  <si>
    <t>Modified Lease Receivable Amortization</t>
  </si>
  <si>
    <t>PV future lease payments - modified lease</t>
  </si>
  <si>
    <t>Unamortized lease receivable - before modification</t>
  </si>
  <si>
    <t>Change in lease receivable</t>
  </si>
  <si>
    <t>Deferred inflow of resources - original</t>
  </si>
  <si>
    <t>County of Example, Lessor</t>
  </si>
  <si>
    <t>County of Example, lessor</t>
  </si>
  <si>
    <t>Unamortized OID</t>
  </si>
  <si>
    <t>Original issue discount (OID)</t>
  </si>
  <si>
    <t>= not applicable</t>
  </si>
  <si>
    <t>due to refunding</t>
  </si>
  <si>
    <t>7/1/20E0</t>
  </si>
  <si>
    <t>FYE 20A1</t>
  </si>
  <si>
    <t>FYE 20A2</t>
  </si>
  <si>
    <t>Bond issuance expense</t>
  </si>
  <si>
    <t>Discount on bonds payable</t>
  </si>
  <si>
    <t>Bonds payable</t>
  </si>
  <si>
    <t>Restricted cash</t>
  </si>
  <si>
    <t>Other financing source - issuance of bonds</t>
  </si>
  <si>
    <t>Construction costs (1/3rd/year)</t>
  </si>
  <si>
    <t>[To record issuance of bonds payable for building project]</t>
  </si>
  <si>
    <t>7/1/20A0 to</t>
  </si>
  <si>
    <t>Construction work in progress</t>
  </si>
  <si>
    <t>Capital outlay - general government</t>
  </si>
  <si>
    <t>6/30/20A1</t>
  </si>
  <si>
    <t>Bond interest expense</t>
  </si>
  <si>
    <t>Debt Service Fund</t>
  </si>
  <si>
    <t>Capital Projects Fund</t>
  </si>
  <si>
    <t>7/1/20A0 a</t>
  </si>
  <si>
    <t xml:space="preserve">[To record issuance of bonds payable, OID and bond issuance </t>
  </si>
  <si>
    <t>7/1/20A1 a</t>
  </si>
  <si>
    <t>7/1/20A1 b</t>
  </si>
  <si>
    <t>Unearned revenue - prepayment of lease</t>
  </si>
  <si>
    <t>[To record accrual of bond interest expense and amortization</t>
  </si>
  <si>
    <t>of discount]</t>
  </si>
  <si>
    <t>costs]</t>
  </si>
  <si>
    <t>[To record annual bond debt service payment made]</t>
  </si>
  <si>
    <t>FYE 20A3</t>
  </si>
  <si>
    <t>7/1/20A2 a</t>
  </si>
  <si>
    <t>7/1/20A2 b</t>
  </si>
  <si>
    <t>6/30/20A3 a</t>
  </si>
  <si>
    <t>[To record accual of bond interest payable and amortization of</t>
  </si>
  <si>
    <t>discount on bond payable]</t>
  </si>
  <si>
    <t>7/1/20A1 to</t>
  </si>
  <si>
    <t>6/30/20A2</t>
  </si>
  <si>
    <t>[To record receipt of first annual payment from Sample City]</t>
  </si>
  <si>
    <t>[To record construction costs incurred during FYE 20A1]</t>
  </si>
  <si>
    <t>[To recognize reduction of bonds payable outstanding]</t>
  </si>
  <si>
    <t>[To record capitalization of construction costs]</t>
  </si>
  <si>
    <t xml:space="preserve">[To record capitalization of construction costs incurred </t>
  </si>
  <si>
    <t>FYE 20A4</t>
  </si>
  <si>
    <t>7/1/20A3 a</t>
  </si>
  <si>
    <t>6/30/20A4 a</t>
  </si>
  <si>
    <t>[To record receipt of annual payment from Sample City]</t>
  </si>
  <si>
    <t>Office building</t>
  </si>
  <si>
    <t>[To record completion of new office building placed into service]</t>
  </si>
  <si>
    <t>7/1/20A3 b</t>
  </si>
  <si>
    <t>7/1/20E1</t>
  </si>
  <si>
    <t>7/1/20E2</t>
  </si>
  <si>
    <t>7/1/20E3</t>
  </si>
  <si>
    <t># annual payments (40 - 3 prepayments)</t>
  </si>
  <si>
    <t>[To record inception of lease and receipt of lease payment]</t>
  </si>
  <si>
    <t>[To record amortization of deferred inflow of resources and</t>
  </si>
  <si>
    <t>recognize lease revenue]</t>
  </si>
  <si>
    <t>6/30/20A4 b</t>
  </si>
  <si>
    <t>Accumulated depreciation - office building</t>
  </si>
  <si>
    <t>NOTE: The County's G.O. bond calculations can be found on "Example 4 Assumptions Summary" tab</t>
  </si>
  <si>
    <t>[To record annual depreciation of office building]</t>
  </si>
  <si>
    <t>FYE 20A5</t>
  </si>
  <si>
    <t>7/1/20A4 a</t>
  </si>
  <si>
    <t>6/30/20A5 a</t>
  </si>
  <si>
    <t>6/30/20A5 b</t>
  </si>
  <si>
    <t>6/30/20A5 c</t>
  </si>
  <si>
    <t>6/30/20A4 c</t>
  </si>
  <si>
    <t>Debt service - bond principal payment (gen long-term debt)</t>
  </si>
  <si>
    <t xml:space="preserve">Debt service - bond Interest </t>
  </si>
  <si>
    <t>Bonds payable (old)</t>
  </si>
  <si>
    <t>Other financing source - refunding bonds</t>
  </si>
  <si>
    <t>Unamortized Bond Premium</t>
  </si>
  <si>
    <t>Total annual payment</t>
  </si>
  <si>
    <t>Lease term begins (building certificate of occupancy)</t>
  </si>
  <si>
    <t>Half of debt service payments</t>
  </si>
  <si>
    <t>Half of total issuance + OID (50%/40 payments)</t>
  </si>
  <si>
    <t>Total reacquisition price</t>
  </si>
  <si>
    <t>Original issue premium refunding bonds</t>
  </si>
  <si>
    <t>Unamortized discount</t>
  </si>
  <si>
    <t>Net carrying value - old</t>
  </si>
  <si>
    <t>Deferred outflow of resources from refinancing</t>
  </si>
  <si>
    <t>Half of total issuance - premium new (50%/40 payments)</t>
  </si>
  <si>
    <t>Bonds payable (refunding)</t>
  </si>
  <si>
    <t>Outstanding par - old</t>
  </si>
  <si>
    <t>Other financing source - bond premium</t>
  </si>
  <si>
    <t>Premium on bonds payable  (refunding)</t>
  </si>
  <si>
    <t>Discount on bonds payable (old)</t>
  </si>
  <si>
    <t>Expenditure (expense) - bond issuance costs</t>
  </si>
  <si>
    <t xml:space="preserve">Gain on refinancing </t>
  </si>
  <si>
    <t>Deferred inflow of resources from lease</t>
  </si>
  <si>
    <t>FYE 20B1</t>
  </si>
  <si>
    <t>7/1/20B0 a</t>
  </si>
  <si>
    <t>7/1/20B1 b</t>
  </si>
  <si>
    <t>7/1/20B0 b</t>
  </si>
  <si>
    <t>7/1/20B0 c</t>
  </si>
  <si>
    <t>6/30/20B1 a</t>
  </si>
  <si>
    <t>[To record amortization of deferred inflow of resources from</t>
  </si>
  <si>
    <t>lease refinancing and recognize lease revenue]</t>
  </si>
  <si>
    <t>from lease and refinancing]</t>
  </si>
  <si>
    <t>6/30/20B1 b</t>
  </si>
  <si>
    <t>Bond premium</t>
  </si>
  <si>
    <t>premium and deferred outflow of resources from bond refinancing]</t>
  </si>
  <si>
    <t>6/30/20B1 c</t>
  </si>
  <si>
    <t>FYE 20B2</t>
  </si>
  <si>
    <t>7/1/20B1 a</t>
  </si>
  <si>
    <t>7/1/20A4 b</t>
  </si>
  <si>
    <t>Revenue - lease interest</t>
  </si>
  <si>
    <t>[To record receipt of annual lease payment]</t>
  </si>
  <si>
    <t>Lease interest receivable</t>
  </si>
  <si>
    <t>6/30/20A4 d</t>
  </si>
  <si>
    <t>Lease interest income</t>
  </si>
  <si>
    <t>[To record accrual of lease interest receivable at FYE]</t>
  </si>
  <si>
    <t>7/1/20B0 d</t>
  </si>
  <si>
    <t>6/30/20A5 d</t>
  </si>
  <si>
    <t>6/30/20B1 d</t>
  </si>
  <si>
    <t>6/30/20B2 a</t>
  </si>
  <si>
    <t>6/30/20B2 b</t>
  </si>
  <si>
    <t>6/30/20B2 c</t>
  </si>
  <si>
    <t>6/30/20B2 d</t>
  </si>
  <si>
    <t>Enteries for remaining years  would follow the same pattern as FYE 20B2</t>
  </si>
  <si>
    <t>7/1/20A3 c</t>
  </si>
  <si>
    <t>Sample City, Lessee</t>
  </si>
  <si>
    <t>Amortization Lease Asset</t>
  </si>
  <si>
    <t>Lease asset - original</t>
  </si>
  <si>
    <t>Lease Modification for Refunding and Defeasance by Lessor Benefiting Lessee</t>
  </si>
  <si>
    <t>Prepaid lease</t>
  </si>
  <si>
    <t>Other finance source</t>
  </si>
  <si>
    <t xml:space="preserve">Debt service - lease Interest </t>
  </si>
  <si>
    <t>[To record annual lease payment made]</t>
  </si>
  <si>
    <t>Change in lease liability</t>
  </si>
  <si>
    <t>Lease Liability - Modified</t>
  </si>
  <si>
    <t xml:space="preserve"> Bond Issue</t>
  </si>
  <si>
    <t>Bond Information</t>
  </si>
  <si>
    <t>Sale/purchase price</t>
  </si>
  <si>
    <t>Sale information</t>
  </si>
  <si>
    <t>Assessed value</t>
  </si>
  <si>
    <t>Interest rate charged by the</t>
  </si>
  <si>
    <t>Issuance Premium</t>
  </si>
  <si>
    <t>Example State Capital Corporation, Buyer/Lessor</t>
  </si>
  <si>
    <t>Proportion allocable to loan</t>
  </si>
  <si>
    <t xml:space="preserve"># annual payments </t>
  </si>
  <si>
    <t>Lease</t>
  </si>
  <si>
    <t>Loan</t>
  </si>
  <si>
    <t>Contract Information</t>
  </si>
  <si>
    <t>Term begins</t>
  </si>
  <si>
    <t>Payments Receivable - PV and allocation</t>
  </si>
  <si>
    <t>Loan Receivable</t>
  </si>
  <si>
    <t>PV future payments</t>
  </si>
  <si>
    <t xml:space="preserve">Building </t>
  </si>
  <si>
    <t>NOTE: The Company's G.O. bond calculations can be found on "Example 5 Assumptions Summary" tab</t>
  </si>
  <si>
    <t>Proportion allocable to sale-leaseback</t>
  </si>
  <si>
    <t>Carrying value</t>
  </si>
  <si>
    <t>Deferred inflow (gain on sale)</t>
  </si>
  <si>
    <t>Loan Payable</t>
  </si>
  <si>
    <t>1/1/2021 a</t>
  </si>
  <si>
    <t>1/1/2021 b</t>
  </si>
  <si>
    <t>Net proceeds</t>
  </si>
  <si>
    <t>Total annual payment (80/20)</t>
  </si>
  <si>
    <t>Total annual payment (80%/20%)</t>
  </si>
  <si>
    <t>Other financing source - issuance premium</t>
  </si>
  <si>
    <t>[To record issuance of bonds payable]</t>
  </si>
  <si>
    <t>Loan receivable</t>
  </si>
  <si>
    <t>Capital Building</t>
  </si>
  <si>
    <t>Premium on bonds payable</t>
  </si>
  <si>
    <t>1/1/2021 c</t>
  </si>
  <si>
    <t>and amortization of deferred outflow or resources]</t>
  </si>
  <si>
    <t xml:space="preserve">[To record accrual of 6 months of lease interest income </t>
  </si>
  <si>
    <t>Unamortized bond premium</t>
  </si>
  <si>
    <t>Bond interest payable</t>
  </si>
  <si>
    <t>[To record accrual of 6 months of bond interest payable and</t>
  </si>
  <si>
    <t>amortization of premium]</t>
  </si>
  <si>
    <t>Loan interest receivable</t>
  </si>
  <si>
    <t>interest income</t>
  </si>
  <si>
    <t>[To record accrual of 6 months of loan interest income]</t>
  </si>
  <si>
    <t>on lease and loan receivables]</t>
  </si>
  <si>
    <t>[To record annual debt service payment on bonds payable,</t>
  </si>
  <si>
    <t xml:space="preserve">payment of previously accrued bond interest, and the </t>
  </si>
  <si>
    <t>recognition of bond interest expense]</t>
  </si>
  <si>
    <t>6/30/2022 c</t>
  </si>
  <si>
    <t>Building sale proceeds</t>
  </si>
  <si>
    <t>Loan proceeds</t>
  </si>
  <si>
    <t xml:space="preserve">PV future payments- receivable and </t>
  </si>
  <si>
    <t>deferred inflow of resources</t>
  </si>
  <si>
    <t>[To record sale of capital building]</t>
  </si>
  <si>
    <t>Loan payable</t>
  </si>
  <si>
    <t>[To record receipt of proceeds of loan payable]</t>
  </si>
  <si>
    <t>[To record loan payable]</t>
  </si>
  <si>
    <t>Lease interest payable</t>
  </si>
  <si>
    <t>Loan interest payable</t>
  </si>
  <si>
    <t>Capital outlay - lease of capital building</t>
  </si>
  <si>
    <t>Other financing source - sale of capital building</t>
  </si>
  <si>
    <t>Other financing source - loan payable proceeds</t>
  </si>
  <si>
    <t>Other financing source - lease payable</t>
  </si>
  <si>
    <t>[To record inception of lease of capital building]</t>
  </si>
  <si>
    <t>[To record accrual of 6 months of lease interest expense]</t>
  </si>
  <si>
    <t>Amortization of Deferred Inflow of Resources (gain) from sale</t>
  </si>
  <si>
    <t>[To record accrual of 6 months of loan interest expense]</t>
  </si>
  <si>
    <t>Deferred inflow of resources from sale of capital building</t>
  </si>
  <si>
    <t>Gain on sale of capital building</t>
  </si>
  <si>
    <t xml:space="preserve">[To amortize deferred inflow of resources from sale of </t>
  </si>
  <si>
    <t>capital building]</t>
  </si>
  <si>
    <t>6/30/2021 d</t>
  </si>
  <si>
    <t>Debt service - lease liability</t>
  </si>
  <si>
    <t>Debt service - loan payable</t>
  </si>
  <si>
    <t>[To record payment of first annual lease and loan payments</t>
  </si>
  <si>
    <t>to Corporation]</t>
  </si>
  <si>
    <t>6/30/2022 d</t>
  </si>
  <si>
    <t>Example 5: Sale-Leaseback Transaction with Off-Market Pricing</t>
  </si>
  <si>
    <t>Sale-Leaseback with Off-Market Pricing</t>
  </si>
  <si>
    <t>[To record purchase of Sample City's capital building and</t>
  </si>
  <si>
    <t xml:space="preserve"> related loan to City]</t>
  </si>
  <si>
    <t>[To record inception of lease of Capital Building to City]</t>
  </si>
  <si>
    <t xml:space="preserve"> City to the Corporation</t>
  </si>
  <si>
    <t>Term (months)</t>
  </si>
  <si>
    <t>Monthly payments</t>
  </si>
  <si>
    <t>Monthly payment</t>
  </si>
  <si>
    <t>Monthly Payment</t>
  </si>
  <si>
    <t>Monthly interest @</t>
  </si>
  <si>
    <t>Deferred Inflow</t>
  </si>
  <si>
    <t xml:space="preserve">Prepayments </t>
  </si>
  <si>
    <t xml:space="preserve">Lease receivable </t>
  </si>
  <si>
    <t>[To amortize deferred inflow of resources and recognize</t>
  </si>
  <si>
    <t>lease revenue for FYE 2021]</t>
  </si>
  <si>
    <t>Lease and Loan Liabilities Allocation</t>
  </si>
  <si>
    <t>Lease Asset Amortization</t>
  </si>
  <si>
    <t xml:space="preserve">Capital outlay - lease </t>
  </si>
  <si>
    <t>Debt service - lease principal</t>
  </si>
  <si>
    <t xml:space="preserve">Debt service - lease interest </t>
  </si>
  <si>
    <t>Sample EDC</t>
  </si>
  <si>
    <t>Deferred inflow of resources  from lease</t>
  </si>
  <si>
    <t>Deferred inflows of resources</t>
  </si>
  <si>
    <t>Position statement</t>
  </si>
  <si>
    <t>Operating statement</t>
  </si>
  <si>
    <t>Adjustments</t>
  </si>
  <si>
    <t>Capital Outlay</t>
  </si>
  <si>
    <t>Other financing Source - lease payable</t>
  </si>
  <si>
    <t>Sample City, Lessee and Sub-Lessor</t>
  </si>
  <si>
    <t>Sample Economic Development Corporation, Sub-Lessee</t>
  </si>
  <si>
    <t>Sub-Lease Receivable</t>
  </si>
  <si>
    <t>NOTE:  Original lease information and calculations are on the "Example 6 Assumptions Summary" tab</t>
  </si>
  <si>
    <t>Sub-Lease Receivable Amortization</t>
  </si>
  <si>
    <t>Amortization of Deferred Inflow of Resources (Revenue) from Sub-Lease</t>
  </si>
  <si>
    <t>Sub-lease</t>
  </si>
  <si>
    <t xml:space="preserve">Deferred Inflow of Resources </t>
  </si>
  <si>
    <t>Lease &amp; Sub-Lease/Intra-Entity Sub-Lease</t>
  </si>
  <si>
    <t>Damage deposit</t>
  </si>
  <si>
    <t>[To record inception of lease of office building]</t>
  </si>
  <si>
    <t>[To record inception of sub-lease of office space to Sample EDC]</t>
  </si>
  <si>
    <t>[To record receipt of monthly sub-lease rental payment]</t>
  </si>
  <si>
    <t>4/1/2021 a</t>
  </si>
  <si>
    <t>3/1/2021 a</t>
  </si>
  <si>
    <t>3/1/2021 b</t>
  </si>
  <si>
    <t>2/1/2021 a</t>
  </si>
  <si>
    <t>2/1/2021 b</t>
  </si>
  <si>
    <t>4/1/2021 b</t>
  </si>
  <si>
    <t>5/1/2021 a</t>
  </si>
  <si>
    <t>5/1/2021 b</t>
  </si>
  <si>
    <t>6/1/2021 a</t>
  </si>
  <si>
    <t>6/1/2021 b</t>
  </si>
  <si>
    <t>Sub-Lease Liability</t>
  </si>
  <si>
    <t>Sub-Lease Asset</t>
  </si>
  <si>
    <t>Sub-Lease Payable Amortization</t>
  </si>
  <si>
    <t>Sub-Lease Asset Amortization</t>
  </si>
  <si>
    <t>Beginning balances:</t>
  </si>
  <si>
    <t>Fund balance/ Net position</t>
  </si>
  <si>
    <t>City</t>
  </si>
  <si>
    <t>Corporation</t>
  </si>
  <si>
    <t>Lease information:</t>
  </si>
  <si>
    <t>Report Scenarios for FYE June 30, 2021</t>
  </si>
  <si>
    <t>A</t>
  </si>
  <si>
    <t>B</t>
  </si>
  <si>
    <t>C</t>
  </si>
  <si>
    <t>Component Units</t>
  </si>
  <si>
    <t>Sample City</t>
  </si>
  <si>
    <t>Change in fund balance/net position</t>
  </si>
  <si>
    <t>Beginning fund balance/net position</t>
  </si>
  <si>
    <t>Ending fund balance/net position</t>
  </si>
  <si>
    <t>Total liabilities</t>
  </si>
  <si>
    <t>Total assets</t>
  </si>
  <si>
    <t>Total deferred inflows of resources</t>
  </si>
  <si>
    <t>Fund balance/net position</t>
  </si>
  <si>
    <t>Total revenue</t>
  </si>
  <si>
    <t>Debt service - lease principle</t>
  </si>
  <si>
    <t>Debt service - lease interest/interest expense</t>
  </si>
  <si>
    <t>a</t>
  </si>
  <si>
    <t>Debit/(Credit)</t>
  </si>
  <si>
    <t>Total expenditures/expense</t>
  </si>
  <si>
    <t>Total revenues</t>
  </si>
  <si>
    <t xml:space="preserve">Sample City </t>
  </si>
  <si>
    <t>Sample Economic Development Corporation</t>
  </si>
  <si>
    <t xml:space="preserve">Fund balance/net position </t>
  </si>
  <si>
    <t>Annual Lease Payment</t>
  </si>
  <si>
    <t>Amortization of Deferred Inflow of Resources (Revenue) from Lease</t>
  </si>
  <si>
    <t>Lease Assets Amortization</t>
  </si>
  <si>
    <t>Premium Amortization*</t>
  </si>
  <si>
    <t>Amortization of Deferred outflow of resources from refinancing*</t>
  </si>
  <si>
    <t>OID Amortization*</t>
  </si>
  <si>
    <t>* =</t>
  </si>
  <si>
    <t>These effective interest rates calculated using "goal seek" (trial &amp; error).</t>
  </si>
  <si>
    <t xml:space="preserve">Loan receivable </t>
  </si>
  <si>
    <t>Example 3: Contracts with Multiple Lease and Non-Lease Components</t>
  </si>
  <si>
    <t>Amortization of Deferred Inflow of Resources</t>
  </si>
  <si>
    <t>unearned revenue for variable payment not previously</t>
  </si>
  <si>
    <t>included in receivable]</t>
  </si>
  <si>
    <t>Accumulated amortization - lease asset</t>
  </si>
  <si>
    <t>Unamortized Balance</t>
  </si>
  <si>
    <t>Amortization expense</t>
  </si>
  <si>
    <t>Discount rate - assumed by lessor</t>
  </si>
  <si>
    <t>PV of 18 future pmts of $120k at 2.5%</t>
  </si>
  <si>
    <t>PV of 18 future pmts of $120k at 2.0%</t>
  </si>
  <si>
    <t>Adjusted 6/30/20</t>
  </si>
  <si>
    <t>Adjust 6/30/20</t>
  </si>
  <si>
    <t>Adjusted  6/30/20</t>
  </si>
  <si>
    <t>there is no balance on which to accrue interest for year</t>
  </si>
  <si>
    <t>Accumulated amortization lease asset - building</t>
  </si>
  <si>
    <t>Accumulated amortization lease asset - furniture &amp; fixtures</t>
  </si>
  <si>
    <t xml:space="preserve">Unamortized lease receivable - </t>
  </si>
  <si>
    <t>before modification</t>
  </si>
  <si>
    <t>b</t>
  </si>
  <si>
    <t>Rent expenditure/amortization expense</t>
  </si>
  <si>
    <t>c</t>
  </si>
  <si>
    <t xml:space="preserve">Lease receivable - NPV annual lease payments </t>
  </si>
  <si>
    <t>Actual Rental Payments and Adjustments to Amortization Expense</t>
  </si>
  <si>
    <t xml:space="preserve"> </t>
  </si>
  <si>
    <t>payment of first and final year base rent payments]</t>
  </si>
  <si>
    <t>[To record rent expenditure]</t>
  </si>
  <si>
    <t>[To record amortization of lease asset]</t>
  </si>
  <si>
    <t>rental and amortization expense]</t>
  </si>
  <si>
    <t>expense]</t>
  </si>
  <si>
    <t>rounding  adj final year</t>
  </si>
  <si>
    <t>there is no principal or interest payment in last year of lease</t>
  </si>
  <si>
    <t>that will be paid on 7/1/14]</t>
  </si>
  <si>
    <t>that will be paid on 7/1/13]</t>
  </si>
  <si>
    <t>that will be paid on 7/1/15]</t>
  </si>
  <si>
    <t xml:space="preserve">lessee including variable payment, based on actual </t>
  </si>
  <si>
    <t>increase for CY 2012 to CPPI of 5%, not previously in lease</t>
  </si>
  <si>
    <t>receivable]</t>
  </si>
  <si>
    <t>Estimated annual average insurance cost (deemed not unreasonable)</t>
  </si>
  <si>
    <t>Cum through CY 2018</t>
  </si>
  <si>
    <t xml:space="preserve"> * 2032</t>
  </si>
  <si>
    <t xml:space="preserve"> *Note: straight-line amortization excluding prepaid final </t>
  </si>
  <si>
    <t>Actual Rental Payments and Adjustments to Lease Revenue</t>
  </si>
  <si>
    <t>Adjustment to Lease Revenue for Year for Variable Payments</t>
  </si>
  <si>
    <t>Stand-Alone
General Fund</t>
  </si>
  <si>
    <t>Fund as 
Blended</t>
  </si>
  <si>
    <t>Governmental 
Activities</t>
  </si>
  <si>
    <t>General 
Fund</t>
  </si>
  <si>
    <t>Economic 
Development 
Fund (SRF)</t>
  </si>
  <si>
    <t xml:space="preserve">Sample City Entity-wide Financial Statements </t>
  </si>
  <si>
    <t>Combined 
Governmental 
Activities</t>
  </si>
  <si>
    <t xml:space="preserve">Stand-Alone Sample City </t>
  </si>
  <si>
    <t>Stand-Alone Sample Economic Development Corporation</t>
  </si>
  <si>
    <t>Pre-Blending 
Eliminations</t>
  </si>
  <si>
    <t xml:space="preserve">a </t>
  </si>
  <si>
    <t>Lease payments during FYE 6/30/2021 =</t>
  </si>
  <si>
    <t xml:space="preserve">b </t>
  </si>
  <si>
    <t>Lease payments during FYE 2021 =</t>
  </si>
  <si>
    <r>
      <t xml:space="preserve">Lease receivable </t>
    </r>
    <r>
      <rPr>
        <sz val="14"/>
        <color rgb="FF0C07D7"/>
        <rFont val="Calibri"/>
        <family val="2"/>
        <scheme val="minor"/>
      </rPr>
      <t>from Sample EDC</t>
    </r>
  </si>
  <si>
    <r>
      <t xml:space="preserve">Lease liability </t>
    </r>
    <r>
      <rPr>
        <sz val="14"/>
        <color rgb="FF0C07D7"/>
        <rFont val="Calibri"/>
        <family val="2"/>
        <scheme val="minor"/>
      </rPr>
      <t>to primary government</t>
    </r>
  </si>
  <si>
    <r>
      <t xml:space="preserve">Total deferred inflows of resources </t>
    </r>
    <r>
      <rPr>
        <sz val="14"/>
        <color rgb="FF0C07D7"/>
        <rFont val="Calibri"/>
        <family val="2"/>
        <scheme val="minor"/>
      </rPr>
      <t>from lease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rgb="FF0C07D7"/>
        <rFont val="Calibri"/>
        <family val="2"/>
        <scheme val="minor"/>
      </rPr>
      <t>to Sample EDC</t>
    </r>
  </si>
  <si>
    <t xml:space="preserve">No other balances or activity related to the intra-entity lease is reported, and adjustments are made to eliminate those amounts before reporting of blended </t>
  </si>
  <si>
    <t>governmental funds</t>
  </si>
  <si>
    <t xml:space="preserve">c </t>
  </si>
  <si>
    <t>Notes on pre-blending eliminations:</t>
  </si>
  <si>
    <t>Governmental Funds
[Post-elimination*]</t>
  </si>
  <si>
    <t>* Supporting Calculations - Pre-Blending Eliminations</t>
  </si>
  <si>
    <t>Note that elimination of all lease activity, other than interfund services provided and used, results in the elimination of the  $4,357 difference between the FYE</t>
  </si>
  <si>
    <t>line basis) of the intra-entity lease.</t>
  </si>
  <si>
    <t>Assumptions</t>
  </si>
  <si>
    <t>Pre-impairment</t>
  </si>
  <si>
    <t>Reduction in lease liability (rent reduction agreed to by lessor)</t>
  </si>
  <si>
    <t>Scenario A</t>
  </si>
  <si>
    <t>Scenario B</t>
  </si>
  <si>
    <t>Scenario C</t>
  </si>
  <si>
    <t>% time out of service</t>
  </si>
  <si>
    <t>% of asset out of service</t>
  </si>
  <si>
    <t>% decline in asset value</t>
  </si>
  <si>
    <t>Decline in lease asset value</t>
  </si>
  <si>
    <t>Reduction in liability</t>
  </si>
  <si>
    <t>Dr</t>
  </si>
  <si>
    <t>Cr</t>
  </si>
  <si>
    <t>Impairment loss</t>
  </si>
  <si>
    <t>Lease asset/Deferred inflow of resources:</t>
  </si>
  <si>
    <t>Lessee accounting</t>
  </si>
  <si>
    <t xml:space="preserve">Deferred inflow of resources </t>
  </si>
  <si>
    <t>Please note that the following are not properly formatted financial statements</t>
  </si>
  <si>
    <t>City and Corporation are not in the same financial reporting entity</t>
  </si>
  <si>
    <t>Corporation is a discretely presented component unit of the City</t>
  </si>
  <si>
    <t>Corporation is a blended presented component unit of the City</t>
  </si>
  <si>
    <t>Difference Between Actual and Expected Rent</t>
  </si>
  <si>
    <t xml:space="preserve"> Lease receivable (PV of 1 pmt of $168k at 2.5%)</t>
  </si>
  <si>
    <t>Final year base rent prepaid</t>
  </si>
  <si>
    <t>Amortized Amount</t>
  </si>
  <si>
    <t>Rent and Prepayments
REVISED</t>
  </si>
  <si>
    <t>6/30/2020 d</t>
  </si>
  <si>
    <t>Calculations</t>
  </si>
  <si>
    <t>Lease Impairment Example</t>
  </si>
  <si>
    <t>*</t>
  </si>
  <si>
    <t>Note that the lessor would also evaluate the need to recognize an impairment to the underlying asset and proceed accordingly.</t>
  </si>
  <si>
    <t>Example County Community College, Lessee</t>
  </si>
  <si>
    <t>Example ISD, Lessor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</si>
  <si>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  As no annual installment payment remains after 7/1,</t>
    </r>
  </si>
  <si>
    <t>The County of Example, Lessee</t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</si>
  <si>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  As no annual installment payment remains after 7/1/2020</t>
    </r>
  </si>
  <si>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  Due to prepayment of base rent upon inception of lease,</t>
    </r>
  </si>
  <si>
    <t>year, which is recognized as revenue in final year</t>
  </si>
  <si>
    <t xml:space="preserve">[To record accrual of interest payable for 7/1/12 – 6/30/13 </t>
  </si>
  <si>
    <t xml:space="preserve">[To record accrual of interest payable for 7/1/13 – 6/30/14 </t>
  </si>
  <si>
    <t>[To record accrual of interest payable for 7/1/14 – 6/30/15</t>
  </si>
  <si>
    <t>Amortization expense - academic programs</t>
  </si>
  <si>
    <t>Capital outlay - building</t>
  </si>
  <si>
    <t>Actual Change in CPPI from Prior Calendar Year</t>
  </si>
  <si>
    <t>Actual Payment based on CPPI</t>
  </si>
  <si>
    <t>Actual Payment based on PY CPPI</t>
  </si>
  <si>
    <t>CPPI CY 2019</t>
  </si>
  <si>
    <t>Actual CPPI</t>
  </si>
  <si>
    <t>Current rent based CPPI changes</t>
  </si>
  <si>
    <t>lessee based on actual CY 2020 CPPI 3%]</t>
  </si>
  <si>
    <t>Expenditure/expense - academic programs</t>
  </si>
  <si>
    <t>Prepaid services - academic programs</t>
  </si>
  <si>
    <t xml:space="preserve">[To record amortization of lease asset and recognize expense for </t>
  </si>
  <si>
    <t>services provided during year]</t>
  </si>
  <si>
    <t>*Annual Interest @</t>
  </si>
  <si>
    <t xml:space="preserve">* </t>
  </si>
  <si>
    <t>*Outstanding Balance</t>
  </si>
  <si>
    <t>Premium Amortization 
(rate imputed)</t>
  </si>
  <si>
    <t>rounding correction</t>
  </si>
  <si>
    <t>Total Principal Payment</t>
  </si>
  <si>
    <t>Total Outstanding Balance</t>
  </si>
  <si>
    <t xml:space="preserve">Interest rate charged by Corporation must be </t>
  </si>
  <si>
    <t>imputed, based on known asset and loan values</t>
  </si>
  <si>
    <t>Discount rate (imputed)*</t>
  </si>
  <si>
    <t>asset value and loan receivable, using "goal seek" (trial and error).</t>
  </si>
  <si>
    <t>* Interest rate charged by Corporation is imputed, based on known capital</t>
  </si>
  <si>
    <t>See "Ex. 5 Calcs-Corporation" tab for details on discount rate imputation</t>
  </si>
  <si>
    <t xml:space="preserve">values of the lease receivable (which is amortized using the effective interest method) and the deferred inflow of resources (which is amortized on a straight-carrying </t>
  </si>
  <si>
    <t>Note that the lease asset would be reduced by the larger reduction in the lease liability, rather than the estimated decline</t>
  </si>
  <si>
    <t>in the value of the lease asset (no gain would be recognized).</t>
  </si>
  <si>
    <t>**</t>
  </si>
  <si>
    <t>Gain would not be recognized, instead the lease asset is reduced by the full amount of the reduction in the liability.</t>
  </si>
  <si>
    <t xml:space="preserve"> inflow of resources excludes the prepaid final year, so that amount</t>
  </si>
  <si>
    <t>is recognized in that year.</t>
  </si>
  <si>
    <t xml:space="preserve"> *Note: In this example, the straight-line amortization of the deferred </t>
  </si>
  <si>
    <t>Lease asset, net</t>
  </si>
  <si>
    <r>
      <t>Lease asset -</t>
    </r>
    <r>
      <rPr>
        <sz val="14"/>
        <color rgb="FF0C07D7"/>
        <rFont val="Calibri"/>
        <family val="2"/>
        <scheme val="minor"/>
      </rPr>
      <t xml:space="preserve"> leased from primary government, </t>
    </r>
    <r>
      <rPr>
        <sz val="14"/>
        <color theme="1"/>
        <rFont val="Calibri"/>
        <family val="2"/>
        <scheme val="minor"/>
      </rPr>
      <t>net</t>
    </r>
  </si>
  <si>
    <t>District Deferred Inflow of Resources</t>
  </si>
  <si>
    <t>Entries for remaining years would follow same patter as those for FYEs 20X3 &amp; 20X4</t>
  </si>
  <si>
    <t>Revenue - charges for services</t>
  </si>
  <si>
    <t>Total lease component</t>
  </si>
  <si>
    <t>payment of first year's contractual payment for lease and non-lease components]</t>
  </si>
  <si>
    <t>[To record annual contractual payment to Example ISD]</t>
  </si>
  <si>
    <t>Outstanding principal - old</t>
  </si>
  <si>
    <t>Original lease:</t>
  </si>
  <si>
    <t>Refunding bond stated interest rate</t>
  </si>
  <si>
    <t>Amortization of Deferred Inflow of Resources - Gain from Refinancing</t>
  </si>
  <si>
    <t>Deferred inflows of resources - lease</t>
  </si>
  <si>
    <t>Deferred inflow of resources  - Gain</t>
  </si>
  <si>
    <t xml:space="preserve"> on refunding</t>
  </si>
  <si>
    <t>Other financing use - redemption (old principle + call premium)</t>
  </si>
  <si>
    <t>Other financing use - redemption</t>
  </si>
  <si>
    <t xml:space="preserve">     for bond refunding</t>
  </si>
  <si>
    <t xml:space="preserve">Deferred inflow of resources -  lease modification </t>
  </si>
  <si>
    <t xml:space="preserve">[To record lease modification made 7/1/20B0 resulting from </t>
  </si>
  <si>
    <t>bond refunding]</t>
  </si>
  <si>
    <t xml:space="preserve"> Lease revenue - charges for services</t>
  </si>
  <si>
    <t xml:space="preserve">Gain on lease modification for bond refinancing </t>
  </si>
  <si>
    <t>lease modification for bond refunding and recognize gain]</t>
  </si>
  <si>
    <t>recognize lease revenue and gain]</t>
  </si>
  <si>
    <t>[To record first annual payment to County of Example]</t>
  </si>
  <si>
    <t>annual payment]</t>
  </si>
  <si>
    <t>[To record inception of office building lease and first</t>
  </si>
  <si>
    <t>Debt service - lease principal (gen long-term debt)</t>
  </si>
  <si>
    <t>[To record lease modification]</t>
  </si>
  <si>
    <t>[To record issuance of refunding bonds and redemption]</t>
  </si>
  <si>
    <t>and recognize lease revenue for year]</t>
  </si>
  <si>
    <t>[To record accrual of 6 months of lease interest income]</t>
  </si>
  <si>
    <t>and amortization of deferred outflow of resources]</t>
  </si>
  <si>
    <t>[To record receipt of first annual payment from City</t>
  </si>
  <si>
    <t xml:space="preserve">Debt service - bond principal </t>
  </si>
  <si>
    <t>Accumulated depreciation - capital building</t>
  </si>
  <si>
    <t>[To record receipt of proceeds from sale of City Capital</t>
  </si>
  <si>
    <t xml:space="preserve"> Building]</t>
  </si>
  <si>
    <t>Lease asset - capital building</t>
  </si>
  <si>
    <t>Accumulated amortization - lease asset - capital building</t>
  </si>
  <si>
    <t>[To record accrual of 6 months of lease interest payable at FYE]</t>
  </si>
  <si>
    <t>[To record accrual of 6 months of loan interest payable at FYE]</t>
  </si>
  <si>
    <t xml:space="preserve">[To amortize deferred inflow of resources from gain on sale of </t>
  </si>
  <si>
    <t>Entries for remaining years  would follow the same pattern as FYE 2021*</t>
  </si>
  <si>
    <t>Except for January, which would follow pattern of subsequent months of 2021</t>
  </si>
  <si>
    <t>Lease revenue and expense/expenditure in amount of rent payments (totaling $60,000) is reported, as it is an interfund service provided and used, rather than a transfer</t>
  </si>
  <si>
    <t>Actual increase in commercial property price index (CPPI) and adjusted base payments:</t>
  </si>
  <si>
    <t>Life (Yrs.):</t>
  </si>
  <si>
    <t>Conversion to Governmental Activities</t>
  </si>
  <si>
    <t xml:space="preserve">associated with installment and prepayments and </t>
  </si>
  <si>
    <t xml:space="preserve">[To record receipt of annual installment payment from </t>
  </si>
  <si>
    <t>[To record reduction in lease liability and incurrence of interest</t>
  </si>
  <si>
    <t>associated with installment and prepayments and recognize</t>
  </si>
  <si>
    <t>[To record receipt of annual lease and services payment]</t>
  </si>
  <si>
    <t>Reacquisition price</t>
  </si>
  <si>
    <t>Amortization deferred outflow of resources from refinancing</t>
  </si>
  <si>
    <t>Total Annual payment</t>
  </si>
  <si>
    <t>Other financing use - discount on bonds issued</t>
  </si>
  <si>
    <t xml:space="preserve">[To record expenditures for construction costs incurred </t>
  </si>
  <si>
    <t>throughout FYE 20A1]</t>
  </si>
  <si>
    <t>throughout FYE 20A2]</t>
  </si>
  <si>
    <t>[To record accrual of bond interest payable and amortization of</t>
  </si>
  <si>
    <t>throughout FYE 20A3]</t>
  </si>
  <si>
    <t>Deferred inflow of resources - lease</t>
  </si>
  <si>
    <t>Entries for FYEs 20A6 - 20B0 would follow the same pattern as FYE 20A5</t>
  </si>
  <si>
    <t>[To record accrual of lease interest payable]</t>
  </si>
  <si>
    <t>Entries for remaining years  would follow the same pattern as FYE 20B2</t>
  </si>
  <si>
    <t>Entries for remaining years  would follow the same pattern as FYE 2022</t>
  </si>
  <si>
    <t>Sample City, Seller/Lessee</t>
  </si>
  <si>
    <t>[To record monthly lease payment]</t>
  </si>
  <si>
    <t>Deferred inflow of resources - lease modification</t>
  </si>
  <si>
    <t xml:space="preserve">Discount rate </t>
  </si>
  <si>
    <t>[To accrue interest receivable for 7/1/12 through 6/30/13 that will be received on 7/1/13]</t>
  </si>
  <si>
    <t>Baseline (*2)</t>
  </si>
  <si>
    <t>Deferred Inflow of Resources</t>
  </si>
  <si>
    <t>Deferred inflow of resources - sale of Capital Building</t>
  </si>
  <si>
    <t>Lease liability/Receivable*</t>
  </si>
  <si>
    <t>***</t>
  </si>
  <si>
    <t>Scenario B***</t>
  </si>
  <si>
    <t>Unchanged *</t>
  </si>
  <si>
    <t>Deferred outflow of resources - interest  expense adjustment</t>
  </si>
  <si>
    <t>Lease Asset and Deferred Outflow on Lease Modification from Refunding</t>
  </si>
  <si>
    <t>Amortization of Deferred Outflow of Resources from Lease Modification</t>
  </si>
  <si>
    <t>Deferred outflow of resources - lease modification</t>
  </si>
  <si>
    <t>[To amortize deferred outflow of resources from lease</t>
  </si>
  <si>
    <t>modification due to refunding]</t>
  </si>
  <si>
    <t>Original Lease Liability Amortization</t>
  </si>
  <si>
    <t>Modified Lease Liability  Amortization</t>
  </si>
  <si>
    <t>Lease Liability - Original</t>
  </si>
  <si>
    <t>[To reverse interest income accrual at previous FYE]</t>
  </si>
  <si>
    <t>Amortization of the Lease Liability</t>
  </si>
  <si>
    <t>[To record amortization of lease asset and rental expense]</t>
  </si>
  <si>
    <t>New PV annual payments  -</t>
  </si>
  <si>
    <t>New PV annual payments  - Lease receivable</t>
  </si>
  <si>
    <t>Operating cost component</t>
  </si>
  <si>
    <t>Annual payments</t>
  </si>
  <si>
    <t xml:space="preserve">Debt service - bond interest </t>
  </si>
  <si>
    <t>Accumulated depreciation</t>
  </si>
  <si>
    <t>Example 6: Lease and Sub-Lease/ Intra-Entity Lease</t>
  </si>
  <si>
    <t xml:space="preserve">Term:  Noncancelable 10 + 10 year extension reasonably certain </t>
  </si>
  <si>
    <t>receipt of first and final years' base rent payments, and</t>
  </si>
  <si>
    <t xml:space="preserve">[To record inception of lease with The County of Example,  </t>
  </si>
  <si>
    <t>To reverse interest income accrual of prior FYE]</t>
  </si>
  <si>
    <t>[To recognize lease revenue for year]</t>
  </si>
  <si>
    <t>CPPI increase of 150% over lease term, less prepayment)</t>
  </si>
  <si>
    <t xml:space="preserve">Actual Insurance charges (all assumed): </t>
  </si>
  <si>
    <r>
      <t>CY 2030: 7/1/31 payment  (assuming</t>
    </r>
    <r>
      <rPr>
        <i/>
        <sz val="14"/>
        <color theme="1"/>
        <rFont val="Calibri"/>
        <family val="2"/>
        <scheme val="minor"/>
      </rPr>
      <t xml:space="preserve"> cumulative</t>
    </r>
  </si>
  <si>
    <t>Actual Increase CPPI from Prior Calendar Year</t>
  </si>
  <si>
    <t>Same change as in lease payable</t>
  </si>
  <si>
    <t>Lessor accounting  for change in lease payments****</t>
  </si>
  <si>
    <t>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</si>
</sst>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0.0%"/>
    <numFmt numFmtId="168" formatCode="_(* #,##0.0000000_);_(* \(#,##0.0000000\);_(* &quot;-&quot;??_);_(@_)"/>
    <numFmt numFmtId="169" formatCode="0.000%"/>
    <numFmt numFmtId="170" formatCode="0.00000%"/>
    <numFmt numFmtId="171" formatCode="0.0000%"/>
    <numFmt numFmtId="172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Symbol"/>
      <family val="1"/>
      <charset val="2"/>
    </font>
    <font>
      <u val="singleAccounting"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rgb="FF0C07D7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C07D7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2"/>
      <color rgb="FF0C07D7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70AD47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0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164" fontId="0" fillId="0" borderId="0" xfId="1" applyNumberFormat="1" applyFont="1" applyFill="1" applyBorder="1" applyAlignment="1">
      <alignment horizontal="left" vertical="center"/>
    </xf>
    <xf numFmtId="164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/>
    <xf numFmtId="15" fontId="0" fillId="0" borderId="0" xfId="0" applyNumberFormat="1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1" xfId="1" applyNumberFormat="1" applyFont="1" applyBorder="1"/>
    <xf numFmtId="0" fontId="0" fillId="0" borderId="1" xfId="0" applyBorder="1"/>
    <xf numFmtId="165" fontId="0" fillId="0" borderId="0" xfId="3" applyNumberFormat="1" applyFont="1" applyBorder="1"/>
    <xf numFmtId="0" fontId="0" fillId="0" borderId="0" xfId="0" applyBorder="1" applyAlignment="1"/>
    <xf numFmtId="0" fontId="0" fillId="0" borderId="0" xfId="0" applyFill="1" applyAlignment="1"/>
    <xf numFmtId="164" fontId="0" fillId="0" borderId="0" xfId="1" applyNumberFormat="1" applyFont="1" applyFill="1" applyBorder="1" applyAlignment="1"/>
    <xf numFmtId="164" fontId="2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/>
    <xf numFmtId="0" fontId="5" fillId="0" borderId="0" xfId="0" applyFont="1" applyAlignment="1"/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9" fontId="0" fillId="0" borderId="0" xfId="0" applyNumberFormat="1" applyBorder="1"/>
    <xf numFmtId="0" fontId="0" fillId="0" borderId="0" xfId="0" applyFont="1" applyAlignment="1"/>
    <xf numFmtId="165" fontId="2" fillId="0" borderId="4" xfId="3" applyNumberFormat="1" applyFont="1" applyBorder="1"/>
    <xf numFmtId="6" fontId="2" fillId="0" borderId="4" xfId="0" applyNumberFormat="1" applyFont="1" applyBorder="1" applyAlignment="1">
      <alignment horizontal="center" wrapText="1"/>
    </xf>
    <xf numFmtId="164" fontId="0" fillId="0" borderId="15" xfId="1" applyNumberFormat="1" applyFont="1" applyBorder="1"/>
    <xf numFmtId="15" fontId="0" fillId="0" borderId="16" xfId="0" applyNumberFormat="1" applyBorder="1" applyAlignment="1">
      <alignment horizontal="right"/>
    </xf>
    <xf numFmtId="164" fontId="0" fillId="0" borderId="16" xfId="1" applyNumberFormat="1" applyFont="1" applyBorder="1"/>
    <xf numFmtId="15" fontId="0" fillId="0" borderId="17" xfId="0" applyNumberFormat="1" applyBorder="1" applyAlignment="1">
      <alignment horizontal="right"/>
    </xf>
    <xf numFmtId="164" fontId="0" fillId="0" borderId="17" xfId="1" applyNumberFormat="1" applyFont="1" applyBorder="1"/>
    <xf numFmtId="0" fontId="0" fillId="0" borderId="16" xfId="0" applyBorder="1" applyAlignment="1">
      <alignment horizontal="right"/>
    </xf>
    <xf numFmtId="164" fontId="0" fillId="0" borderId="16" xfId="0" applyNumberFormat="1" applyBorder="1"/>
    <xf numFmtId="0" fontId="0" fillId="0" borderId="17" xfId="0" applyBorder="1" applyAlignment="1">
      <alignment horizontal="right"/>
    </xf>
    <xf numFmtId="164" fontId="0" fillId="0" borderId="17" xfId="0" applyNumberFormat="1" applyBorder="1"/>
    <xf numFmtId="0" fontId="2" fillId="0" borderId="0" xfId="0" applyFont="1" applyBorder="1" applyAlignment="1">
      <alignment horizontal="right"/>
    </xf>
    <xf numFmtId="164" fontId="3" fillId="0" borderId="0" xfId="1" applyNumberFormat="1" applyFont="1"/>
    <xf numFmtId="164" fontId="3" fillId="0" borderId="0" xfId="0" applyNumberFormat="1" applyFont="1"/>
    <xf numFmtId="164" fontId="0" fillId="0" borderId="0" xfId="0" applyNumberFormat="1" applyAlignme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4"/>
    </xf>
    <xf numFmtId="0" fontId="8" fillId="0" borderId="0" xfId="0" applyFont="1" applyBorder="1"/>
    <xf numFmtId="164" fontId="8" fillId="0" borderId="0" xfId="1" applyNumberFormat="1" applyFont="1" applyBorder="1"/>
    <xf numFmtId="0" fontId="8" fillId="0" borderId="0" xfId="0" applyFont="1" applyBorder="1" applyAlignment="1">
      <alignment horizontal="left" vertical="center" indent="9"/>
    </xf>
    <xf numFmtId="0" fontId="9" fillId="0" borderId="0" xfId="0" applyFont="1" applyBorder="1" applyAlignment="1">
      <alignment horizontal="left" vertical="center" indent="9"/>
    </xf>
    <xf numFmtId="164" fontId="7" fillId="0" borderId="0" xfId="1" applyNumberFormat="1" applyFont="1" applyBorder="1" applyAlignment="1">
      <alignment horizontal="center"/>
    </xf>
    <xf numFmtId="165" fontId="8" fillId="0" borderId="0" xfId="3" applyNumberFormat="1" applyFont="1" applyBorder="1"/>
    <xf numFmtId="164" fontId="8" fillId="0" borderId="0" xfId="1" applyNumberFormat="1" applyFont="1" applyBorder="1" applyAlignment="1">
      <alignment horizontal="center" wrapText="1"/>
    </xf>
    <xf numFmtId="15" fontId="8" fillId="0" borderId="0" xfId="0" applyNumberFormat="1" applyFont="1" applyBorder="1"/>
    <xf numFmtId="164" fontId="8" fillId="0" borderId="0" xfId="1" applyNumberFormat="1" applyFont="1" applyFill="1" applyBorder="1"/>
    <xf numFmtId="0" fontId="8" fillId="0" borderId="0" xfId="0" applyFont="1" applyBorder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left" vertical="center" indent="9"/>
    </xf>
    <xf numFmtId="0" fontId="8" fillId="0" borderId="0" xfId="0" applyFont="1"/>
    <xf numFmtId="164" fontId="3" fillId="0" borderId="0" xfId="0" applyNumberFormat="1" applyFont="1" applyBorder="1"/>
    <xf numFmtId="164" fontId="0" fillId="0" borderId="9" xfId="1" applyNumberFormat="1" applyFont="1" applyBorder="1"/>
    <xf numFmtId="0" fontId="2" fillId="0" borderId="0" xfId="0" applyFont="1" applyAlignment="1">
      <alignment horizontal="left"/>
    </xf>
    <xf numFmtId="0" fontId="0" fillId="0" borderId="16" xfId="0" applyFill="1" applyBorder="1" applyAlignment="1">
      <alignment horizontal="right"/>
    </xf>
    <xf numFmtId="164" fontId="0" fillId="0" borderId="7" xfId="1" applyNumberFormat="1" applyFont="1" applyBorder="1"/>
    <xf numFmtId="164" fontId="8" fillId="0" borderId="0" xfId="1" applyNumberFormat="1" applyFont="1" applyBorder="1" applyAlignment="1">
      <alignment horizontal="center"/>
    </xf>
    <xf numFmtId="164" fontId="8" fillId="0" borderId="1" xfId="1" applyNumberFormat="1" applyFont="1" applyBorder="1"/>
    <xf numFmtId="9" fontId="8" fillId="0" borderId="0" xfId="0" applyNumberFormat="1" applyFont="1" applyBorder="1"/>
    <xf numFmtId="166" fontId="8" fillId="0" borderId="0" xfId="3" applyNumberFormat="1" applyFont="1" applyBorder="1"/>
    <xf numFmtId="9" fontId="8" fillId="0" borderId="0" xfId="0" applyNumberFormat="1" applyFont="1"/>
    <xf numFmtId="166" fontId="8" fillId="0" borderId="0" xfId="1" applyNumberFormat="1" applyFont="1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9" xfId="0" applyBorder="1" applyAlignment="1">
      <alignment horizontal="right"/>
    </xf>
    <xf numFmtId="0" fontId="0" fillId="0" borderId="0" xfId="0" applyFont="1" applyBorder="1" applyAlignment="1"/>
    <xf numFmtId="0" fontId="0" fillId="0" borderId="16" xfId="0" applyBorder="1"/>
    <xf numFmtId="6" fontId="0" fillId="0" borderId="5" xfId="0" applyNumberFormat="1" applyBorder="1"/>
    <xf numFmtId="0" fontId="7" fillId="0" borderId="0" xfId="0" applyFont="1"/>
    <xf numFmtId="166" fontId="8" fillId="0" borderId="0" xfId="3" applyNumberFormat="1" applyFont="1"/>
    <xf numFmtId="166" fontId="8" fillId="0" borderId="0" xfId="0" applyNumberFormat="1" applyFont="1"/>
    <xf numFmtId="0" fontId="3" fillId="0" borderId="0" xfId="0" applyFont="1"/>
    <xf numFmtId="0" fontId="3" fillId="0" borderId="0" xfId="0" applyFont="1" applyBorder="1"/>
    <xf numFmtId="0" fontId="8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right"/>
    </xf>
    <xf numFmtId="10" fontId="8" fillId="0" borderId="0" xfId="0" applyNumberFormat="1" applyFont="1" applyBorder="1"/>
    <xf numFmtId="10" fontId="8" fillId="0" borderId="0" xfId="2" applyNumberFormat="1" applyFont="1" applyBorder="1"/>
    <xf numFmtId="10" fontId="0" fillId="0" borderId="0" xfId="0" applyNumberFormat="1" applyBorder="1"/>
    <xf numFmtId="0" fontId="12" fillId="0" borderId="0" xfId="0" applyFont="1" applyBorder="1"/>
    <xf numFmtId="164" fontId="0" fillId="0" borderId="0" xfId="1" applyNumberFormat="1" applyFont="1" applyFill="1" applyBorder="1"/>
    <xf numFmtId="6" fontId="0" fillId="0" borderId="0" xfId="0" applyNumberFormat="1" applyBorder="1"/>
    <xf numFmtId="6" fontId="2" fillId="0" borderId="17" xfId="0" applyNumberFormat="1" applyFont="1" applyBorder="1" applyAlignment="1">
      <alignment horizontal="center" wrapText="1"/>
    </xf>
    <xf numFmtId="0" fontId="13" fillId="0" borderId="0" xfId="0" applyFont="1" applyAlignment="1">
      <alignment vertical="center"/>
    </xf>
    <xf numFmtId="164" fontId="8" fillId="0" borderId="0" xfId="1" applyNumberFormat="1" applyFont="1"/>
    <xf numFmtId="10" fontId="8" fillId="0" borderId="0" xfId="0" applyNumberFormat="1" applyFont="1"/>
    <xf numFmtId="6" fontId="2" fillId="0" borderId="4" xfId="0" applyNumberFormat="1" applyFont="1" applyBorder="1" applyAlignment="1">
      <alignment horizontal="center"/>
    </xf>
    <xf numFmtId="10" fontId="0" fillId="0" borderId="1" xfId="0" applyNumberFormat="1" applyBorder="1"/>
    <xf numFmtId="166" fontId="0" fillId="0" borderId="0" xfId="3" applyNumberFormat="1" applyFont="1" applyBorder="1"/>
    <xf numFmtId="164" fontId="2" fillId="0" borderId="4" xfId="1" applyNumberFormat="1" applyFont="1" applyBorder="1" applyAlignment="1">
      <alignment horizontal="center"/>
    </xf>
    <xf numFmtId="15" fontId="0" fillId="3" borderId="16" xfId="0" applyNumberFormat="1" applyFill="1" applyBorder="1" applyAlignment="1">
      <alignment horizontal="right"/>
    </xf>
    <xf numFmtId="164" fontId="0" fillId="3" borderId="16" xfId="1" applyNumberFormat="1" applyFont="1" applyFill="1" applyBorder="1"/>
    <xf numFmtId="164" fontId="0" fillId="3" borderId="15" xfId="1" applyNumberFormat="1" applyFont="1" applyFill="1" applyBorder="1"/>
    <xf numFmtId="164" fontId="0" fillId="3" borderId="18" xfId="1" applyNumberFormat="1" applyFont="1" applyFill="1" applyBorder="1"/>
    <xf numFmtId="164" fontId="0" fillId="3" borderId="17" xfId="1" applyNumberFormat="1" applyFont="1" applyFill="1" applyBorder="1"/>
    <xf numFmtId="0" fontId="0" fillId="3" borderId="15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164" fontId="0" fillId="3" borderId="9" xfId="1" applyNumberFormat="1" applyFont="1" applyFill="1" applyBorder="1"/>
    <xf numFmtId="164" fontId="0" fillId="3" borderId="0" xfId="1" applyNumberFormat="1" applyFont="1" applyFill="1"/>
    <xf numFmtId="0" fontId="2" fillId="0" borderId="0" xfId="0" applyFont="1" applyBorder="1" applyAlignment="1">
      <alignment horizontal="center"/>
    </xf>
    <xf numFmtId="9" fontId="8" fillId="0" borderId="0" xfId="2" applyFont="1"/>
    <xf numFmtId="164" fontId="0" fillId="0" borderId="1" xfId="1" applyNumberFormat="1" applyFont="1" applyBorder="1" applyAlignment="1"/>
    <xf numFmtId="166" fontId="0" fillId="0" borderId="5" xfId="0" applyNumberFormat="1" applyBorder="1"/>
    <xf numFmtId="165" fontId="2" fillId="0" borderId="4" xfId="3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164" fontId="0" fillId="0" borderId="0" xfId="0" applyNumberFormat="1" applyBorder="1" applyAlignment="1"/>
    <xf numFmtId="164" fontId="0" fillId="0" borderId="0" xfId="1" applyNumberFormat="1" applyFont="1" applyBorder="1" applyAlignment="1"/>
    <xf numFmtId="164" fontId="0" fillId="0" borderId="0" xfId="0" applyNumberFormat="1" applyFont="1" applyFill="1" applyBorder="1" applyAlignment="1">
      <alignment vertical="center"/>
    </xf>
    <xf numFmtId="164" fontId="3" fillId="0" borderId="0" xfId="1" applyNumberFormat="1" applyFont="1" applyAlignment="1"/>
    <xf numFmtId="0" fontId="0" fillId="0" borderId="0" xfId="0" applyFill="1" applyBorder="1"/>
    <xf numFmtId="49" fontId="8" fillId="0" borderId="0" xfId="0" applyNumberFormat="1" applyFont="1"/>
    <xf numFmtId="0" fontId="0" fillId="0" borderId="4" xfId="0" applyBorder="1"/>
    <xf numFmtId="10" fontId="0" fillId="0" borderId="16" xfId="0" applyNumberFormat="1" applyBorder="1"/>
    <xf numFmtId="3" fontId="0" fillId="0" borderId="0" xfId="0" applyNumberFormat="1" applyBorder="1"/>
    <xf numFmtId="164" fontId="0" fillId="4" borderId="0" xfId="1" applyNumberFormat="1" applyFont="1" applyFill="1" applyBorder="1"/>
    <xf numFmtId="164" fontId="0" fillId="4" borderId="21" xfId="1" applyNumberFormat="1" applyFont="1" applyFill="1" applyBorder="1"/>
    <xf numFmtId="164" fontId="0" fillId="4" borderId="23" xfId="1" applyNumberFormat="1" applyFont="1" applyFill="1" applyBorder="1"/>
    <xf numFmtId="164" fontId="0" fillId="6" borderId="5" xfId="1" applyNumberFormat="1" applyFont="1" applyFill="1" applyBorder="1"/>
    <xf numFmtId="164" fontId="0" fillId="6" borderId="22" xfId="1" applyNumberFormat="1" applyFont="1" applyFill="1" applyBorder="1"/>
    <xf numFmtId="164" fontId="0" fillId="6" borderId="23" xfId="1" applyNumberFormat="1" applyFont="1" applyFill="1" applyBorder="1"/>
    <xf numFmtId="0" fontId="12" fillId="0" borderId="0" xfId="0" applyFont="1" applyBorder="1" applyAlignment="1">
      <alignment horizontal="center"/>
    </xf>
    <xf numFmtId="165" fontId="2" fillId="0" borderId="17" xfId="3" applyNumberFormat="1" applyFont="1" applyBorder="1" applyAlignment="1">
      <alignment wrapText="1"/>
    </xf>
    <xf numFmtId="165" fontId="2" fillId="0" borderId="17" xfId="3" applyNumberFormat="1" applyFont="1" applyFill="1" applyBorder="1" applyAlignment="1">
      <alignment wrapText="1"/>
    </xf>
    <xf numFmtId="49" fontId="8" fillId="0" borderId="0" xfId="0" applyNumberFormat="1" applyFont="1" applyBorder="1"/>
    <xf numFmtId="166" fontId="0" fillId="0" borderId="0" xfId="0" applyNumberFormat="1" applyBorder="1"/>
    <xf numFmtId="165" fontId="2" fillId="0" borderId="0" xfId="3" applyNumberFormat="1" applyFont="1" applyFill="1" applyBorder="1" applyAlignment="1">
      <alignment wrapText="1"/>
    </xf>
    <xf numFmtId="165" fontId="8" fillId="0" borderId="0" xfId="3" applyNumberFormat="1" applyFont="1"/>
    <xf numFmtId="0" fontId="8" fillId="0" borderId="0" xfId="0" applyFont="1" applyAlignment="1">
      <alignment horizontal="center" wrapText="1"/>
    </xf>
    <xf numFmtId="14" fontId="8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left"/>
    </xf>
    <xf numFmtId="165" fontId="8" fillId="0" borderId="0" xfId="0" applyNumberFormat="1" applyFont="1"/>
    <xf numFmtId="169" fontId="8" fillId="0" borderId="0" xfId="0" applyNumberFormat="1" applyFont="1"/>
    <xf numFmtId="0" fontId="8" fillId="0" borderId="1" xfId="0" applyFont="1" applyBorder="1" applyAlignment="1"/>
    <xf numFmtId="43" fontId="8" fillId="0" borderId="0" xfId="0" applyNumberFormat="1" applyFont="1"/>
    <xf numFmtId="0" fontId="8" fillId="0" borderId="1" xfId="0" applyFont="1" applyBorder="1"/>
    <xf numFmtId="43" fontId="8" fillId="0" borderId="1" xfId="0" applyNumberFormat="1" applyFont="1" applyBorder="1"/>
    <xf numFmtId="0" fontId="8" fillId="3" borderId="0" xfId="0" applyFont="1" applyFill="1"/>
    <xf numFmtId="0" fontId="8" fillId="0" borderId="15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14" fontId="8" fillId="0" borderId="0" xfId="0" applyNumberFormat="1" applyFont="1" applyAlignment="1">
      <alignment horizontal="right" indent="1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right" indent="1"/>
    </xf>
    <xf numFmtId="165" fontId="8" fillId="0" borderId="0" xfId="3" applyNumberFormat="1" applyFont="1" applyAlignment="1">
      <alignment horizontal="left"/>
    </xf>
    <xf numFmtId="0" fontId="0" fillId="0" borderId="0" xfId="0" quotePrefix="1" applyNumberFormat="1" applyBorder="1" applyAlignment="1">
      <alignment horizontal="right"/>
    </xf>
    <xf numFmtId="0" fontId="0" fillId="0" borderId="0" xfId="0" applyBorder="1" applyAlignment="1">
      <alignment horizontal="right" indent="1"/>
    </xf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169" fontId="0" fillId="0" borderId="0" xfId="2" applyNumberFormat="1" applyFont="1" applyBorder="1"/>
    <xf numFmtId="169" fontId="0" fillId="0" borderId="1" xfId="2" applyNumberFormat="1" applyFont="1" applyBorder="1"/>
    <xf numFmtId="0" fontId="8" fillId="0" borderId="0" xfId="0" applyFont="1" applyFill="1"/>
    <xf numFmtId="0" fontId="8" fillId="0" borderId="0" xfId="0" applyFont="1" applyFill="1" applyAlignment="1">
      <alignment horizontal="left" indent="1"/>
    </xf>
    <xf numFmtId="164" fontId="8" fillId="0" borderId="0" xfId="1" applyNumberFormat="1" applyFont="1" applyFill="1"/>
    <xf numFmtId="43" fontId="8" fillId="0" borderId="0" xfId="1" applyNumberFormat="1" applyFont="1" applyFill="1"/>
    <xf numFmtId="170" fontId="8" fillId="0" borderId="0" xfId="2" applyNumberFormat="1" applyFont="1"/>
    <xf numFmtId="43" fontId="8" fillId="0" borderId="0" xfId="1" applyFont="1" applyAlignment="1">
      <alignment horizontal="left"/>
    </xf>
    <xf numFmtId="0" fontId="8" fillId="0" borderId="16" xfId="0" applyFont="1" applyBorder="1" applyAlignment="1">
      <alignment horizontal="center" wrapText="1"/>
    </xf>
    <xf numFmtId="9" fontId="8" fillId="0" borderId="16" xfId="0" applyNumberFormat="1" applyFont="1" applyBorder="1" applyAlignment="1">
      <alignment horizontal="center" wrapText="1"/>
    </xf>
    <xf numFmtId="164" fontId="8" fillId="0" borderId="15" xfId="1" applyNumberFormat="1" applyFont="1" applyBorder="1"/>
    <xf numFmtId="14" fontId="8" fillId="0" borderId="16" xfId="0" applyNumberFormat="1" applyFont="1" applyBorder="1" applyAlignment="1">
      <alignment horizontal="right" indent="1"/>
    </xf>
    <xf numFmtId="164" fontId="8" fillId="0" borderId="16" xfId="1" applyNumberFormat="1" applyFont="1" applyBorder="1"/>
    <xf numFmtId="164" fontId="8" fillId="3" borderId="16" xfId="1" applyNumberFormat="1" applyFont="1" applyFill="1" applyBorder="1"/>
    <xf numFmtId="165" fontId="8" fillId="3" borderId="16" xfId="3" applyNumberFormat="1" applyFont="1" applyFill="1" applyBorder="1"/>
    <xf numFmtId="165" fontId="8" fillId="3" borderId="17" xfId="3" applyNumberFormat="1" applyFont="1" applyFill="1" applyBorder="1"/>
    <xf numFmtId="164" fontId="8" fillId="3" borderId="17" xfId="1" applyNumberFormat="1" applyFont="1" applyFill="1" applyBorder="1"/>
    <xf numFmtId="164" fontId="8" fillId="0" borderId="16" xfId="1" applyNumberFormat="1" applyFont="1" applyFill="1" applyBorder="1"/>
    <xf numFmtId="0" fontId="0" fillId="0" borderId="0" xfId="0" applyFont="1" applyFill="1" applyAlignment="1">
      <alignment horizontal="center" vertical="top"/>
    </xf>
    <xf numFmtId="14" fontId="8" fillId="0" borderId="17" xfId="0" applyNumberFormat="1" applyFont="1" applyBorder="1" applyAlignment="1">
      <alignment horizontal="right" indent="1"/>
    </xf>
    <xf numFmtId="164" fontId="8" fillId="0" borderId="17" xfId="1" applyNumberFormat="1" applyFont="1" applyBorder="1"/>
    <xf numFmtId="164" fontId="8" fillId="0" borderId="17" xfId="1" applyNumberFormat="1" applyFont="1" applyFill="1" applyBorder="1"/>
    <xf numFmtId="0" fontId="8" fillId="0" borderId="0" xfId="0" quotePrefix="1" applyFont="1"/>
    <xf numFmtId="164" fontId="1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164" fontId="0" fillId="0" borderId="0" xfId="0" applyNumberFormat="1" applyFont="1" applyAlignment="1"/>
    <xf numFmtId="0" fontId="6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64" fontId="0" fillId="0" borderId="0" xfId="1" applyNumberFormat="1" applyFont="1" applyAlignment="1">
      <alignment horizontal="left"/>
    </xf>
    <xf numFmtId="164" fontId="0" fillId="0" borderId="0" xfId="1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/>
    </xf>
    <xf numFmtId="164" fontId="1" fillId="0" borderId="0" xfId="1" applyNumberFormat="1" applyFont="1" applyFill="1" applyBorder="1" applyAlignment="1">
      <alignment horizontal="left" vertical="center"/>
    </xf>
    <xf numFmtId="164" fontId="5" fillId="0" borderId="0" xfId="1" applyNumberFormat="1" applyFont="1" applyFill="1" applyBorder="1" applyAlignment="1">
      <alignment horizontal="left" vertical="center"/>
    </xf>
    <xf numFmtId="6" fontId="0" fillId="0" borderId="8" xfId="1" applyNumberFormat="1" applyFont="1" applyBorder="1"/>
    <xf numFmtId="43" fontId="0" fillId="0" borderId="0" xfId="0" applyNumberFormat="1" applyBorder="1"/>
    <xf numFmtId="0" fontId="2" fillId="0" borderId="4" xfId="0" applyFont="1" applyBorder="1" applyAlignment="1">
      <alignment horizontal="center"/>
    </xf>
    <xf numFmtId="165" fontId="2" fillId="0" borderId="17" xfId="3" applyNumberFormat="1" applyFont="1" applyFill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Alignment="1"/>
    <xf numFmtId="164" fontId="0" fillId="0" borderId="0" xfId="1" applyNumberFormat="1" applyFont="1" applyFill="1" applyAlignment="1"/>
    <xf numFmtId="164" fontId="0" fillId="0" borderId="0" xfId="0" applyNumberFormat="1" applyFill="1" applyAlignment="1"/>
    <xf numFmtId="0" fontId="8" fillId="0" borderId="13" xfId="0" applyFont="1" applyBorder="1"/>
    <xf numFmtId="0" fontId="2" fillId="0" borderId="0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14" fillId="0" borderId="0" xfId="0" applyFont="1"/>
    <xf numFmtId="0" fontId="0" fillId="0" borderId="0" xfId="0" applyFont="1" applyFill="1" applyAlignment="1"/>
    <xf numFmtId="165" fontId="8" fillId="0" borderId="5" xfId="0" applyNumberFormat="1" applyFont="1" applyBorder="1"/>
    <xf numFmtId="0" fontId="8" fillId="0" borderId="0" xfId="0" quotePrefix="1" applyFont="1" applyBorder="1" applyAlignment="1">
      <alignment horizontal="left"/>
    </xf>
    <xf numFmtId="165" fontId="8" fillId="0" borderId="0" xfId="0" applyNumberFormat="1" applyFont="1" applyBorder="1"/>
    <xf numFmtId="165" fontId="8" fillId="0" borderId="5" xfId="3" applyNumberFormat="1" applyFont="1" applyBorder="1" applyAlignment="1">
      <alignment horizontal="left"/>
    </xf>
    <xf numFmtId="164" fontId="8" fillId="0" borderId="1" xfId="1" applyNumberFormat="1" applyFont="1" applyBorder="1" applyAlignment="1">
      <alignment horizontal="left"/>
    </xf>
    <xf numFmtId="164" fontId="8" fillId="0" borderId="0" xfId="1" applyNumberFormat="1" applyFont="1" applyBorder="1" applyAlignment="1">
      <alignment horizontal="left"/>
    </xf>
    <xf numFmtId="164" fontId="8" fillId="0" borderId="1" xfId="0" applyNumberFormat="1" applyFont="1" applyBorder="1"/>
    <xf numFmtId="165" fontId="8" fillId="0" borderId="5" xfId="3" applyNumberFormat="1" applyFont="1" applyBorder="1"/>
    <xf numFmtId="0" fontId="8" fillId="0" borderId="16" xfId="0" applyFont="1" applyFill="1" applyBorder="1" applyAlignment="1">
      <alignment horizontal="center" wrapText="1"/>
    </xf>
    <xf numFmtId="165" fontId="8" fillId="0" borderId="17" xfId="3" applyNumberFormat="1" applyFont="1" applyBorder="1" applyAlignment="1">
      <alignment horizontal="center"/>
    </xf>
    <xf numFmtId="169" fontId="8" fillId="0" borderId="17" xfId="0" applyNumberFormat="1" applyFont="1" applyBorder="1" applyAlignment="1">
      <alignment horizontal="center" wrapText="1"/>
    </xf>
    <xf numFmtId="169" fontId="8" fillId="0" borderId="14" xfId="0" applyNumberFormat="1" applyFont="1" applyBorder="1" applyAlignment="1">
      <alignment horizontal="center" wrapText="1"/>
    </xf>
    <xf numFmtId="169" fontId="8" fillId="0" borderId="0" xfId="2" applyNumberFormat="1" applyFont="1" applyAlignment="1">
      <alignment horizontal="center" wrapText="1"/>
    </xf>
    <xf numFmtId="164" fontId="8" fillId="0" borderId="17" xfId="1" applyNumberFormat="1" applyFont="1" applyBorder="1" applyAlignment="1">
      <alignment horizontal="center"/>
    </xf>
    <xf numFmtId="169" fontId="8" fillId="0" borderId="17" xfId="0" applyNumberFormat="1" applyFont="1" applyFill="1" applyBorder="1" applyAlignment="1">
      <alignment horizontal="center" wrapText="1"/>
    </xf>
    <xf numFmtId="165" fontId="8" fillId="0" borderId="17" xfId="3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0" fillId="7" borderId="0" xfId="0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 vertical="center"/>
    </xf>
    <xf numFmtId="164" fontId="1" fillId="0" borderId="26" xfId="1" applyNumberFormat="1" applyFont="1" applyFill="1" applyBorder="1" applyAlignment="1">
      <alignment horizontal="left" vertical="center" indent="3"/>
    </xf>
    <xf numFmtId="164" fontId="1" fillId="0" borderId="27" xfId="1" applyNumberFormat="1" applyFont="1" applyFill="1" applyBorder="1" applyAlignment="1">
      <alignment vertical="center"/>
    </xf>
    <xf numFmtId="164" fontId="15" fillId="0" borderId="0" xfId="1" applyNumberFormat="1" applyFont="1" applyAlignment="1"/>
    <xf numFmtId="164" fontId="0" fillId="0" borderId="25" xfId="1" applyNumberFormat="1" applyFont="1" applyFill="1" applyBorder="1" applyAlignment="1">
      <alignment horizontal="left" vertical="center" indent="3"/>
    </xf>
    <xf numFmtId="0" fontId="5" fillId="0" borderId="0" xfId="0" applyFont="1" applyBorder="1" applyAlignment="1"/>
    <xf numFmtId="0" fontId="0" fillId="0" borderId="0" xfId="0" applyFont="1" applyFill="1" applyBorder="1" applyAlignment="1">
      <alignment horizontal="right"/>
    </xf>
    <xf numFmtId="6" fontId="0" fillId="0" borderId="0" xfId="1" applyNumberFormat="1" applyFont="1" applyFill="1" applyBorder="1"/>
    <xf numFmtId="164" fontId="0" fillId="0" borderId="0" xfId="0" applyNumberFormat="1" applyFill="1"/>
    <xf numFmtId="165" fontId="2" fillId="0" borderId="16" xfId="3" applyNumberFormat="1" applyFont="1" applyFill="1" applyBorder="1" applyAlignment="1">
      <alignment wrapText="1"/>
    </xf>
    <xf numFmtId="14" fontId="0" fillId="0" borderId="16" xfId="0" applyNumberFormat="1" applyBorder="1" applyAlignment="1">
      <alignment horizontal="right" indent="1"/>
    </xf>
    <xf numFmtId="164" fontId="0" fillId="0" borderId="28" xfId="0" applyNumberFormat="1" applyBorder="1"/>
    <xf numFmtId="14" fontId="0" fillId="0" borderId="17" xfId="0" applyNumberFormat="1" applyBorder="1" applyAlignment="1">
      <alignment horizontal="right" indent="1"/>
    </xf>
    <xf numFmtId="164" fontId="0" fillId="0" borderId="29" xfId="0" applyNumberFormat="1" applyFill="1" applyBorder="1"/>
    <xf numFmtId="14" fontId="0" fillId="3" borderId="16" xfId="0" applyNumberFormat="1" applyFill="1" applyBorder="1" applyAlignment="1">
      <alignment horizontal="right" indent="1"/>
    </xf>
    <xf numFmtId="164" fontId="0" fillId="3" borderId="16" xfId="0" applyNumberFormat="1" applyFill="1" applyBorder="1"/>
    <xf numFmtId="164" fontId="0" fillId="3" borderId="28" xfId="0" applyNumberFormat="1" applyFill="1" applyBorder="1"/>
    <xf numFmtId="14" fontId="0" fillId="3" borderId="17" xfId="0" applyNumberFormat="1" applyFill="1" applyBorder="1" applyAlignment="1">
      <alignment horizontal="right" indent="1"/>
    </xf>
    <xf numFmtId="164" fontId="0" fillId="3" borderId="17" xfId="0" applyNumberFormat="1" applyFill="1" applyBorder="1"/>
    <xf numFmtId="169" fontId="2" fillId="0" borderId="17" xfId="2" applyNumberFormat="1" applyFont="1" applyBorder="1" applyAlignment="1">
      <alignment horizontal="center" wrapText="1"/>
    </xf>
    <xf numFmtId="164" fontId="0" fillId="0" borderId="16" xfId="1" applyNumberFormat="1" applyFont="1" applyFill="1" applyBorder="1"/>
    <xf numFmtId="0" fontId="0" fillId="0" borderId="16" xfId="0" applyFill="1" applyBorder="1"/>
    <xf numFmtId="164" fontId="0" fillId="0" borderId="16" xfId="0" applyNumberFormat="1" applyFill="1" applyBorder="1"/>
    <xf numFmtId="0" fontId="0" fillId="0" borderId="16" xfId="0" quotePrefix="1" applyNumberFormat="1" applyBorder="1" applyAlignment="1">
      <alignment horizontal="right"/>
    </xf>
    <xf numFmtId="11" fontId="0" fillId="0" borderId="17" xfId="0" quotePrefix="1" applyNumberFormat="1" applyBorder="1" applyAlignment="1">
      <alignment horizontal="right"/>
    </xf>
    <xf numFmtId="165" fontId="2" fillId="0" borderId="17" xfId="3" applyNumberFormat="1" applyFont="1" applyBorder="1" applyAlignment="1">
      <alignment horizontal="right" wrapText="1"/>
    </xf>
    <xf numFmtId="164" fontId="2" fillId="0" borderId="17" xfId="1" applyNumberFormat="1" applyFont="1" applyBorder="1" applyAlignment="1">
      <alignment horizontal="center"/>
    </xf>
    <xf numFmtId="165" fontId="2" fillId="0" borderId="4" xfId="3" applyNumberFormat="1" applyFont="1" applyFill="1" applyBorder="1" applyAlignment="1">
      <alignment horizontal="right" wrapText="1"/>
    </xf>
    <xf numFmtId="0" fontId="0" fillId="0" borderId="17" xfId="0" applyBorder="1"/>
    <xf numFmtId="0" fontId="0" fillId="0" borderId="17" xfId="0" quotePrefix="1" applyNumberFormat="1" applyBorder="1" applyAlignment="1">
      <alignment horizontal="right"/>
    </xf>
    <xf numFmtId="0" fontId="7" fillId="0" borderId="0" xfId="0" applyFont="1" applyFill="1"/>
    <xf numFmtId="165" fontId="8" fillId="0" borderId="0" xfId="3" applyNumberFormat="1" applyFont="1" applyFill="1" applyAlignment="1">
      <alignment horizontal="left"/>
    </xf>
    <xf numFmtId="170" fontId="8" fillId="0" borderId="0" xfId="2" applyNumberFormat="1" applyFont="1" applyFill="1"/>
    <xf numFmtId="9" fontId="8" fillId="0" borderId="0" xfId="2" applyFont="1" applyFill="1"/>
    <xf numFmtId="0" fontId="8" fillId="0" borderId="1" xfId="0" applyFont="1" applyFill="1" applyBorder="1" applyAlignment="1"/>
    <xf numFmtId="14" fontId="8" fillId="0" borderId="0" xfId="0" applyNumberFormat="1" applyFont="1" applyFill="1" applyAlignment="1">
      <alignment horizontal="right" indent="1"/>
    </xf>
    <xf numFmtId="0" fontId="8" fillId="0" borderId="0" xfId="0" applyFont="1" applyFill="1" applyAlignment="1">
      <alignment horizontal="right" indent="1"/>
    </xf>
    <xf numFmtId="0" fontId="8" fillId="0" borderId="1" xfId="0" applyFont="1" applyFill="1" applyBorder="1"/>
    <xf numFmtId="9" fontId="8" fillId="0" borderId="16" xfId="0" applyNumberFormat="1" applyFont="1" applyFill="1" applyBorder="1" applyAlignment="1">
      <alignment horizontal="center" wrapText="1"/>
    </xf>
    <xf numFmtId="14" fontId="8" fillId="0" borderId="16" xfId="0" applyNumberFormat="1" applyFont="1" applyFill="1" applyBorder="1" applyAlignment="1">
      <alignment horizontal="right" indent="1"/>
    </xf>
    <xf numFmtId="164" fontId="8" fillId="0" borderId="15" xfId="1" applyNumberFormat="1" applyFont="1" applyFill="1" applyBorder="1"/>
    <xf numFmtId="14" fontId="8" fillId="0" borderId="17" xfId="0" applyNumberFormat="1" applyFont="1" applyFill="1" applyBorder="1" applyAlignment="1">
      <alignment horizontal="right" indent="1"/>
    </xf>
    <xf numFmtId="164" fontId="8" fillId="0" borderId="0" xfId="0" applyNumberFormat="1" applyFont="1" applyFill="1"/>
    <xf numFmtId="9" fontId="8" fillId="0" borderId="0" xfId="2" applyFont="1" applyFill="1" applyAlignment="1">
      <alignment horizontal="center"/>
    </xf>
    <xf numFmtId="164" fontId="11" fillId="0" borderId="0" xfId="0" applyNumberFormat="1" applyFont="1" applyAlignment="1">
      <alignment vertical="center"/>
    </xf>
    <xf numFmtId="10" fontId="8" fillId="0" borderId="0" xfId="0" applyNumberFormat="1" applyFont="1" applyFill="1"/>
    <xf numFmtId="171" fontId="8" fillId="0" borderId="17" xfId="2" applyNumberFormat="1" applyFont="1" applyFill="1" applyBorder="1" applyAlignment="1">
      <alignment horizontal="center"/>
    </xf>
    <xf numFmtId="0" fontId="0" fillId="0" borderId="0" xfId="0" applyAlignment="1">
      <alignment horizontal="left" indent="1"/>
    </xf>
    <xf numFmtId="164" fontId="1" fillId="0" borderId="0" xfId="1" applyNumberFormat="1" applyFont="1"/>
    <xf numFmtId="14" fontId="8" fillId="0" borderId="0" xfId="0" applyNumberFormat="1" applyFont="1" applyFill="1"/>
    <xf numFmtId="0" fontId="8" fillId="0" borderId="1" xfId="0" applyFont="1" applyFill="1" applyBorder="1" applyAlignment="1">
      <alignment horizontal="center"/>
    </xf>
    <xf numFmtId="0" fontId="8" fillId="0" borderId="0" xfId="0" applyFont="1" applyBorder="1" applyAlignment="1"/>
    <xf numFmtId="0" fontId="8" fillId="0" borderId="1" xfId="0" applyFont="1" applyBorder="1" applyAlignment="1">
      <alignment wrapText="1"/>
    </xf>
    <xf numFmtId="0" fontId="8" fillId="0" borderId="0" xfId="0" applyFont="1" applyBorder="1" applyAlignment="1">
      <alignment horizontal="left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5" fontId="8" fillId="0" borderId="1" xfId="3" applyNumberFormat="1" applyFont="1" applyBorder="1" applyAlignment="1">
      <alignment horizontal="left"/>
    </xf>
    <xf numFmtId="166" fontId="8" fillId="0" borderId="0" xfId="0" applyNumberFormat="1" applyFont="1" applyBorder="1"/>
    <xf numFmtId="165" fontId="8" fillId="0" borderId="5" xfId="0" applyNumberFormat="1" applyFont="1" applyBorder="1" applyAlignment="1">
      <alignment horizontal="left"/>
    </xf>
    <xf numFmtId="165" fontId="8" fillId="0" borderId="5" xfId="3" applyNumberFormat="1" applyFont="1" applyFill="1" applyBorder="1"/>
    <xf numFmtId="164" fontId="8" fillId="0" borderId="0" xfId="1" applyNumberFormat="1" applyFont="1" applyFill="1" applyBorder="1" applyAlignment="1"/>
    <xf numFmtId="164" fontId="8" fillId="0" borderId="0" xfId="0" applyNumberFormat="1" applyFont="1" applyBorder="1"/>
    <xf numFmtId="164" fontId="11" fillId="0" borderId="0" xfId="0" applyNumberFormat="1" applyFont="1" applyBorder="1"/>
    <xf numFmtId="0" fontId="8" fillId="0" borderId="0" xfId="0" applyFont="1" applyAlignment="1">
      <alignment horizontal="center"/>
    </xf>
    <xf numFmtId="165" fontId="16" fillId="0" borderId="4" xfId="3" applyNumberFormat="1" applyFont="1" applyBorder="1" applyAlignment="1">
      <alignment horizontal="right" wrapText="1"/>
    </xf>
    <xf numFmtId="165" fontId="16" fillId="0" borderId="17" xfId="3" applyNumberFormat="1" applyFont="1" applyFill="1" applyBorder="1" applyAlignment="1">
      <alignment wrapText="1"/>
    </xf>
    <xf numFmtId="169" fontId="16" fillId="0" borderId="17" xfId="2" applyNumberFormat="1" applyFont="1" applyBorder="1" applyAlignment="1">
      <alignment horizontal="center" wrapText="1"/>
    </xf>
    <xf numFmtId="165" fontId="16" fillId="0" borderId="17" xfId="3" applyNumberFormat="1" applyFont="1" applyBorder="1" applyAlignment="1">
      <alignment horizontal="right" wrapText="1"/>
    </xf>
    <xf numFmtId="164" fontId="16" fillId="0" borderId="17" xfId="1" applyNumberFormat="1" applyFont="1" applyBorder="1" applyAlignment="1">
      <alignment horizontal="center"/>
    </xf>
    <xf numFmtId="0" fontId="8" fillId="0" borderId="16" xfId="0" applyFont="1" applyBorder="1"/>
    <xf numFmtId="0" fontId="8" fillId="0" borderId="16" xfId="0" applyFont="1" applyBorder="1" applyAlignment="1">
      <alignment horizontal="right"/>
    </xf>
    <xf numFmtId="164" fontId="8" fillId="0" borderId="16" xfId="0" applyNumberFormat="1" applyFont="1" applyBorder="1"/>
    <xf numFmtId="14" fontId="8" fillId="0" borderId="16" xfId="1" applyNumberFormat="1" applyFont="1" applyBorder="1"/>
    <xf numFmtId="14" fontId="8" fillId="0" borderId="17" xfId="1" applyNumberFormat="1" applyFont="1" applyBorder="1"/>
    <xf numFmtId="164" fontId="8" fillId="0" borderId="17" xfId="0" applyNumberFormat="1" applyFont="1" applyBorder="1"/>
    <xf numFmtId="0" fontId="8" fillId="0" borderId="17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Fill="1" applyBorder="1"/>
    <xf numFmtId="164" fontId="8" fillId="0" borderId="0" xfId="0" applyNumberFormat="1" applyFont="1" applyFill="1" applyBorder="1"/>
    <xf numFmtId="0" fontId="8" fillId="0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/>
    <xf numFmtId="164" fontId="8" fillId="0" borderId="0" xfId="0" applyNumberFormat="1" applyFont="1"/>
    <xf numFmtId="164" fontId="11" fillId="0" borderId="0" xfId="1" applyNumberFormat="1" applyFont="1"/>
    <xf numFmtId="0" fontId="16" fillId="0" borderId="0" xfId="0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164" fontId="1" fillId="0" borderId="0" xfId="1" applyNumberFormat="1" applyFont="1" applyBorder="1"/>
    <xf numFmtId="0" fontId="5" fillId="0" borderId="0" xfId="0" applyFont="1"/>
    <xf numFmtId="164" fontId="18" fillId="0" borderId="0" xfId="1" applyNumberFormat="1" applyFont="1" applyAlignment="1">
      <alignment horizontal="center"/>
    </xf>
    <xf numFmtId="164" fontId="18" fillId="0" borderId="0" xfId="1" applyNumberFormat="1" applyFont="1" applyBorder="1" applyAlignment="1">
      <alignment horizontal="center"/>
    </xf>
    <xf numFmtId="164" fontId="1" fillId="0" borderId="3" xfId="1" applyNumberFormat="1" applyFont="1" applyBorder="1"/>
    <xf numFmtId="164" fontId="1" fillId="0" borderId="1" xfId="1" applyNumberFormat="1" applyFont="1" applyBorder="1"/>
    <xf numFmtId="164" fontId="1" fillId="0" borderId="5" xfId="1" applyNumberFormat="1" applyFont="1" applyBorder="1"/>
    <xf numFmtId="164" fontId="0" fillId="0" borderId="0" xfId="1" applyNumberFormat="1" applyFont="1" applyBorder="1" applyAlignment="1">
      <alignment horizontal="left" indent="11"/>
    </xf>
    <xf numFmtId="0" fontId="8" fillId="0" borderId="0" xfId="0" quotePrefix="1" applyFont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164" fontId="2" fillId="0" borderId="15" xfId="1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164" fontId="0" fillId="8" borderId="5" xfId="1" applyNumberFormat="1" applyFont="1" applyFill="1" applyBorder="1"/>
    <xf numFmtId="164" fontId="0" fillId="8" borderId="0" xfId="1" applyNumberFormat="1" applyFont="1" applyFill="1" applyBorder="1"/>
    <xf numFmtId="165" fontId="0" fillId="6" borderId="0" xfId="3" applyNumberFormat="1" applyFont="1" applyFill="1"/>
    <xf numFmtId="10" fontId="2" fillId="0" borderId="17" xfId="2" applyNumberFormat="1" applyFont="1" applyBorder="1" applyAlignment="1">
      <alignment horizontal="center" wrapText="1"/>
    </xf>
    <xf numFmtId="15" fontId="0" fillId="0" borderId="4" xfId="0" applyNumberFormat="1" applyBorder="1" applyAlignment="1">
      <alignment horizontal="right"/>
    </xf>
    <xf numFmtId="10" fontId="0" fillId="3" borderId="17" xfId="0" applyNumberFormat="1" applyFill="1" applyBorder="1"/>
    <xf numFmtId="10" fontId="3" fillId="0" borderId="16" xfId="0" applyNumberFormat="1" applyFont="1" applyBorder="1"/>
    <xf numFmtId="0" fontId="2" fillId="0" borderId="4" xfId="0" applyFont="1" applyBorder="1" applyAlignment="1">
      <alignment horizontal="center" vertical="center"/>
    </xf>
    <xf numFmtId="10" fontId="19" fillId="0" borderId="17" xfId="0" applyNumberFormat="1" applyFont="1" applyBorder="1"/>
    <xf numFmtId="0" fontId="6" fillId="0" borderId="0" xfId="0" applyFont="1" applyBorder="1"/>
    <xf numFmtId="0" fontId="2" fillId="0" borderId="4" xfId="0" applyFont="1" applyBorder="1" applyAlignment="1">
      <alignment horizontal="center" vertical="center"/>
    </xf>
    <xf numFmtId="165" fontId="8" fillId="0" borderId="0" xfId="3" applyNumberFormat="1" applyFont="1" applyFill="1" applyBorder="1"/>
    <xf numFmtId="6" fontId="16" fillId="0" borderId="4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16" fillId="0" borderId="1" xfId="1" applyNumberFormat="1" applyFont="1" applyBorder="1" applyAlignment="1">
      <alignment horizontal="center" wrapText="1"/>
    </xf>
    <xf numFmtId="164" fontId="8" fillId="0" borderId="0" xfId="1" applyNumberFormat="1" applyFont="1" applyAlignment="1">
      <alignment horizontal="center"/>
    </xf>
    <xf numFmtId="164" fontId="16" fillId="0" borderId="0" xfId="1" applyNumberFormat="1" applyFont="1" applyBorder="1" applyAlignment="1">
      <alignment horizontal="center"/>
    </xf>
    <xf numFmtId="164" fontId="16" fillId="0" borderId="0" xfId="1" applyNumberFormat="1" applyFont="1" applyAlignment="1">
      <alignment horizontal="center"/>
    </xf>
    <xf numFmtId="0" fontId="20" fillId="0" borderId="0" xfId="0" applyFont="1"/>
    <xf numFmtId="164" fontId="8" fillId="0" borderId="3" xfId="1" applyNumberFormat="1" applyFont="1" applyBorder="1"/>
    <xf numFmtId="164" fontId="8" fillId="0" borderId="5" xfId="1" applyNumberFormat="1" applyFont="1" applyBorder="1"/>
    <xf numFmtId="0" fontId="21" fillId="0" borderId="0" xfId="0" applyFont="1"/>
    <xf numFmtId="164" fontId="10" fillId="0" borderId="0" xfId="1" applyNumberFormat="1" applyFont="1" applyAlignment="1">
      <alignment horizontal="center"/>
    </xf>
    <xf numFmtId="164" fontId="10" fillId="0" borderId="0" xfId="1" applyNumberFormat="1" applyFont="1" applyBorder="1" applyAlignment="1">
      <alignment horizontal="center" wrapText="1"/>
    </xf>
    <xf numFmtId="164" fontId="8" fillId="4" borderId="0" xfId="1" applyNumberFormat="1" applyFont="1" applyFill="1"/>
    <xf numFmtId="164" fontId="8" fillId="4" borderId="3" xfId="1" applyNumberFormat="1" applyFont="1" applyFill="1" applyBorder="1"/>
    <xf numFmtId="164" fontId="8" fillId="0" borderId="8" xfId="1" applyNumberFormat="1" applyFont="1" applyBorder="1"/>
    <xf numFmtId="164" fontId="16" fillId="0" borderId="1" xfId="1" applyNumberFormat="1" applyFont="1" applyBorder="1" applyAlignment="1"/>
    <xf numFmtId="164" fontId="16" fillId="0" borderId="0" xfId="1" applyNumberFormat="1" applyFont="1" applyBorder="1" applyAlignment="1"/>
    <xf numFmtId="164" fontId="10" fillId="0" borderId="0" xfId="1" applyNumberFormat="1" applyFont="1" applyAlignment="1">
      <alignment horizontal="center" wrapText="1"/>
    </xf>
    <xf numFmtId="0" fontId="8" fillId="0" borderId="8" xfId="0" applyFont="1" applyBorder="1"/>
    <xf numFmtId="0" fontId="8" fillId="0" borderId="6" xfId="0" applyFont="1" applyBorder="1"/>
    <xf numFmtId="0" fontId="8" fillId="0" borderId="7" xfId="0" applyFont="1" applyBorder="1"/>
    <xf numFmtId="164" fontId="10" fillId="4" borderId="0" xfId="1" applyNumberFormat="1" applyFont="1" applyFill="1" applyAlignment="1">
      <alignment horizontal="center" wrapText="1"/>
    </xf>
    <xf numFmtId="164" fontId="8" fillId="4" borderId="0" xfId="1" applyNumberFormat="1" applyFont="1" applyFill="1" applyBorder="1"/>
    <xf numFmtId="164" fontId="8" fillId="4" borderId="5" xfId="1" applyNumberFormat="1" applyFont="1" applyFill="1" applyBorder="1"/>
    <xf numFmtId="164" fontId="21" fillId="0" borderId="0" xfId="1" applyNumberFormat="1" applyFont="1"/>
    <xf numFmtId="164" fontId="8" fillId="4" borderId="1" xfId="1" applyNumberFormat="1" applyFont="1" applyFill="1" applyBorder="1"/>
    <xf numFmtId="164" fontId="8" fillId="0" borderId="5" xfId="1" applyNumberFormat="1" applyFont="1" applyBorder="1" applyAlignment="1">
      <alignment horizontal="left"/>
    </xf>
    <xf numFmtId="164" fontId="8" fillId="0" borderId="0" xfId="1" applyNumberFormat="1" applyFont="1" applyFill="1" applyAlignment="1">
      <alignment horizontal="center" wrapText="1"/>
    </xf>
    <xf numFmtId="164" fontId="8" fillId="0" borderId="3" xfId="1" applyNumberFormat="1" applyFont="1" applyBorder="1" applyAlignment="1">
      <alignment horizontal="center" wrapText="1"/>
    </xf>
    <xf numFmtId="164" fontId="8" fillId="0" borderId="3" xfId="1" applyNumberFormat="1" applyFont="1" applyFill="1" applyBorder="1" applyAlignment="1">
      <alignment horizontal="center" wrapText="1"/>
    </xf>
    <xf numFmtId="0" fontId="8" fillId="0" borderId="9" xfId="0" applyFont="1" applyBorder="1"/>
    <xf numFmtId="166" fontId="8" fillId="0" borderId="12" xfId="3" applyNumberFormat="1" applyFont="1" applyBorder="1"/>
    <xf numFmtId="9" fontId="8" fillId="0" borderId="0" xfId="2" applyFont="1" applyBorder="1"/>
    <xf numFmtId="9" fontId="8" fillId="0" borderId="12" xfId="2" applyFont="1" applyBorder="1"/>
    <xf numFmtId="0" fontId="8" fillId="0" borderId="14" xfId="0" applyFont="1" applyBorder="1"/>
    <xf numFmtId="9" fontId="8" fillId="0" borderId="1" xfId="2" applyFont="1" applyBorder="1"/>
    <xf numFmtId="9" fontId="8" fillId="0" borderId="13" xfId="2" applyFont="1" applyBorder="1"/>
    <xf numFmtId="9" fontId="8" fillId="0" borderId="3" xfId="2" applyFont="1" applyBorder="1"/>
    <xf numFmtId="165" fontId="8" fillId="0" borderId="8" xfId="3" applyNumberFormat="1" applyFont="1" applyBorder="1" applyAlignment="1">
      <alignment horizontal="right"/>
    </xf>
    <xf numFmtId="164" fontId="10" fillId="0" borderId="12" xfId="1" applyNumberFormat="1" applyFont="1" applyBorder="1" applyAlignment="1">
      <alignment horizontal="center"/>
    </xf>
    <xf numFmtId="164" fontId="8" fillId="0" borderId="12" xfId="1" applyNumberFormat="1" applyFont="1" applyBorder="1"/>
    <xf numFmtId="164" fontId="8" fillId="0" borderId="13" xfId="1" applyNumberFormat="1" applyFont="1" applyBorder="1"/>
    <xf numFmtId="0" fontId="8" fillId="0" borderId="12" xfId="0" applyFont="1" applyBorder="1"/>
    <xf numFmtId="0" fontId="16" fillId="0" borderId="0" xfId="0" applyFont="1"/>
    <xf numFmtId="0" fontId="20" fillId="0" borderId="0" xfId="0" applyFont="1" applyAlignment="1">
      <alignment horizontal="left" indent="1"/>
    </xf>
    <xf numFmtId="164" fontId="8" fillId="0" borderId="0" xfId="1" applyNumberFormat="1" applyFont="1" applyBorder="1" applyAlignment="1">
      <alignment horizontal="center"/>
    </xf>
    <xf numFmtId="6" fontId="0" fillId="0" borderId="0" xfId="0" applyNumberFormat="1" applyBorder="1" applyAlignment="1">
      <alignment horizontal="right"/>
    </xf>
    <xf numFmtId="0" fontId="8" fillId="0" borderId="9" xfId="0" applyFont="1" applyBorder="1" applyAlignment="1">
      <alignment horizontal="left"/>
    </xf>
    <xf numFmtId="0" fontId="8" fillId="0" borderId="14" xfId="0" quotePrefix="1" applyFont="1" applyBorder="1" applyAlignment="1">
      <alignment horizontal="righ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4" fontId="23" fillId="0" borderId="0" xfId="1" applyNumberFormat="1" applyFont="1" applyAlignment="1"/>
    <xf numFmtId="0" fontId="23" fillId="0" borderId="0" xfId="0" applyFont="1" applyAlignment="1"/>
    <xf numFmtId="0" fontId="25" fillId="0" borderId="0" xfId="0" applyFont="1" applyAlignment="1">
      <alignment vertical="center"/>
    </xf>
    <xf numFmtId="0" fontId="24" fillId="0" borderId="0" xfId="0" applyFont="1" applyAlignment="1">
      <alignment horizontal="right"/>
    </xf>
    <xf numFmtId="164" fontId="23" fillId="0" borderId="0" xfId="1" applyNumberFormat="1" applyFont="1" applyFill="1" applyBorder="1" applyAlignment="1"/>
    <xf numFmtId="0" fontId="23" fillId="0" borderId="0" xfId="0" applyFont="1" applyFill="1" applyBorder="1" applyAlignment="1"/>
    <xf numFmtId="0" fontId="26" fillId="0" borderId="0" xfId="0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vertical="center"/>
    </xf>
    <xf numFmtId="0" fontId="24" fillId="0" borderId="4" xfId="0" applyFont="1" applyBorder="1" applyAlignment="1">
      <alignment horizontal="center"/>
    </xf>
    <xf numFmtId="164" fontId="24" fillId="0" borderId="0" xfId="1" applyNumberFormat="1" applyFont="1" applyFill="1" applyBorder="1" applyAlignment="1"/>
    <xf numFmtId="14" fontId="24" fillId="0" borderId="0" xfId="0" applyNumberFormat="1" applyFont="1" applyAlignment="1">
      <alignment horizontal="right"/>
    </xf>
    <xf numFmtId="164" fontId="23" fillId="0" borderId="0" xfId="1" applyNumberFormat="1" applyFont="1" applyFill="1" applyBorder="1" applyAlignment="1">
      <alignment horizontal="center" vertical="center"/>
    </xf>
    <xf numFmtId="164" fontId="23" fillId="0" borderId="0" xfId="0" applyNumberFormat="1" applyFont="1" applyAlignment="1"/>
    <xf numFmtId="164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Alignment="1"/>
    <xf numFmtId="14" fontId="24" fillId="0" borderId="0" xfId="0" applyNumberFormat="1" applyFont="1" applyAlignment="1"/>
    <xf numFmtId="14" fontId="23" fillId="0" borderId="0" xfId="0" applyNumberFormat="1" applyFont="1" applyAlignment="1">
      <alignment horizontal="right"/>
    </xf>
    <xf numFmtId="164" fontId="23" fillId="0" borderId="0" xfId="1" applyNumberFormat="1" applyFont="1" applyFill="1" applyBorder="1" applyAlignment="1">
      <alignment horizontal="right" vertical="center"/>
    </xf>
    <xf numFmtId="164" fontId="28" fillId="0" borderId="0" xfId="1" applyNumberFormat="1" applyFont="1" applyAlignment="1"/>
    <xf numFmtId="0" fontId="23" fillId="0" borderId="0" xfId="0" applyFont="1" applyFill="1" applyBorder="1" applyAlignment="1">
      <alignment horizontal="right"/>
    </xf>
    <xf numFmtId="164" fontId="23" fillId="0" borderId="25" xfId="1" applyNumberFormat="1" applyFont="1" applyFill="1" applyBorder="1" applyAlignment="1">
      <alignment horizontal="left" indent="4"/>
    </xf>
    <xf numFmtId="164" fontId="23" fillId="0" borderId="26" xfId="1" applyNumberFormat="1" applyFont="1" applyFill="1" applyBorder="1" applyAlignment="1">
      <alignment horizontal="left" vertical="center" indent="3"/>
    </xf>
    <xf numFmtId="164" fontId="23" fillId="0" borderId="27" xfId="1" applyNumberFormat="1" applyFont="1" applyFill="1" applyBorder="1" applyAlignment="1">
      <alignment vertical="center"/>
    </xf>
    <xf numFmtId="0" fontId="23" fillId="0" borderId="0" xfId="0" applyFont="1" applyBorder="1" applyAlignment="1"/>
    <xf numFmtId="0" fontId="24" fillId="0" borderId="0" xfId="0" applyFont="1" applyAlignment="1">
      <alignment horizontal="center"/>
    </xf>
    <xf numFmtId="14" fontId="24" fillId="0" borderId="0" xfId="0" applyNumberFormat="1" applyFont="1" applyFill="1" applyAlignment="1">
      <alignment horizontal="center"/>
    </xf>
    <xf numFmtId="0" fontId="23" fillId="0" borderId="0" xfId="0" applyFont="1" applyFill="1" applyAlignment="1"/>
    <xf numFmtId="164" fontId="23" fillId="0" borderId="0" xfId="0" applyNumberFormat="1" applyFont="1" applyFill="1" applyAlignment="1"/>
    <xf numFmtId="0" fontId="24" fillId="0" borderId="0" xfId="0" applyFont="1" applyFill="1" applyAlignment="1">
      <alignment horizontal="center"/>
    </xf>
    <xf numFmtId="0" fontId="27" fillId="0" borderId="0" xfId="0" applyFont="1" applyFill="1" applyAlignment="1"/>
    <xf numFmtId="0" fontId="24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164" fontId="23" fillId="0" borderId="0" xfId="1" applyNumberFormat="1" applyFont="1" applyFill="1" applyBorder="1" applyAlignment="1">
      <alignment horizontal="left" vertical="center"/>
    </xf>
    <xf numFmtId="14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14" fontId="24" fillId="0" borderId="0" xfId="0" applyNumberFormat="1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/>
    <xf numFmtId="164" fontId="25" fillId="0" borderId="0" xfId="0" applyNumberFormat="1" applyFont="1" applyAlignment="1">
      <alignment vertical="center"/>
    </xf>
    <xf numFmtId="0" fontId="29" fillId="0" borderId="0" xfId="0" applyFont="1"/>
    <xf numFmtId="164" fontId="23" fillId="0" borderId="0" xfId="0" applyNumberFormat="1" applyFont="1"/>
    <xf numFmtId="165" fontId="23" fillId="0" borderId="0" xfId="3" applyNumberFormat="1" applyFont="1"/>
    <xf numFmtId="165" fontId="23" fillId="0" borderId="5" xfId="0" applyNumberFormat="1" applyFont="1" applyBorder="1"/>
    <xf numFmtId="165" fontId="23" fillId="0" borderId="0" xfId="0" applyNumberFormat="1" applyFont="1" applyBorder="1"/>
    <xf numFmtId="0" fontId="23" fillId="0" borderId="0" xfId="0" applyFont="1" applyBorder="1"/>
    <xf numFmtId="164" fontId="23" fillId="0" borderId="0" xfId="1" applyNumberFormat="1" applyFont="1"/>
    <xf numFmtId="0" fontId="2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166" fontId="23" fillId="0" borderId="0" xfId="3" applyNumberFormat="1" applyFont="1" applyBorder="1"/>
    <xf numFmtId="164" fontId="23" fillId="0" borderId="0" xfId="1" applyNumberFormat="1" applyFont="1" applyBorder="1"/>
    <xf numFmtId="164" fontId="23" fillId="0" borderId="0" xfId="1" applyNumberFormat="1" applyFont="1" applyBorder="1" applyAlignment="1"/>
    <xf numFmtId="10" fontId="23" fillId="0" borderId="0" xfId="2" applyNumberFormat="1" applyFont="1" applyBorder="1"/>
    <xf numFmtId="169" fontId="23" fillId="0" borderId="0" xfId="2" applyNumberFormat="1" applyFont="1" applyBorder="1"/>
    <xf numFmtId="166" fontId="23" fillId="0" borderId="0" xfId="0" applyNumberFormat="1" applyFont="1" applyBorder="1"/>
    <xf numFmtId="164" fontId="23" fillId="0" borderId="0" xfId="1" applyNumberFormat="1" applyFont="1" applyFill="1" applyBorder="1"/>
    <xf numFmtId="164" fontId="25" fillId="0" borderId="0" xfId="1" applyNumberFormat="1" applyFont="1"/>
    <xf numFmtId="6" fontId="23" fillId="0" borderId="0" xfId="1" applyNumberFormat="1" applyFont="1" applyFill="1" applyBorder="1"/>
    <xf numFmtId="0" fontId="23" fillId="0" borderId="0" xfId="0" applyFont="1" applyBorder="1" applyAlignment="1">
      <alignment horizontal="left" indent="2"/>
    </xf>
    <xf numFmtId="165" fontId="23" fillId="0" borderId="0" xfId="3" applyNumberFormat="1" applyFont="1" applyFill="1" applyBorder="1"/>
    <xf numFmtId="164" fontId="23" fillId="0" borderId="0" xfId="0" applyNumberFormat="1" applyFont="1" applyBorder="1"/>
    <xf numFmtId="164" fontId="25" fillId="0" borderId="0" xfId="0" applyNumberFormat="1" applyFont="1" applyBorder="1"/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165" fontId="24" fillId="0" borderId="0" xfId="3" applyNumberFormat="1" applyFont="1" applyFill="1" applyBorder="1" applyAlignment="1">
      <alignment horizontal="center" wrapText="1"/>
    </xf>
    <xf numFmtId="165" fontId="24" fillId="0" borderId="0" xfId="3" applyNumberFormat="1" applyFont="1" applyFill="1" applyBorder="1" applyAlignment="1">
      <alignment wrapText="1"/>
    </xf>
    <xf numFmtId="165" fontId="24" fillId="0" borderId="4" xfId="3" applyNumberFormat="1" applyFont="1" applyBorder="1" applyAlignment="1">
      <alignment horizontal="right" wrapText="1"/>
    </xf>
    <xf numFmtId="165" fontId="24" fillId="0" borderId="17" xfId="3" applyNumberFormat="1" applyFont="1" applyFill="1" applyBorder="1" applyAlignment="1">
      <alignment wrapText="1"/>
    </xf>
    <xf numFmtId="164" fontId="24" fillId="0" borderId="17" xfId="3" applyNumberFormat="1" applyFont="1" applyFill="1" applyBorder="1" applyAlignment="1">
      <alignment wrapText="1"/>
    </xf>
    <xf numFmtId="165" fontId="24" fillId="0" borderId="17" xfId="3" applyNumberFormat="1" applyFont="1" applyBorder="1" applyAlignment="1">
      <alignment horizontal="right" wrapText="1"/>
    </xf>
    <xf numFmtId="164" fontId="24" fillId="0" borderId="17" xfId="1" applyNumberFormat="1" applyFont="1" applyBorder="1" applyAlignment="1">
      <alignment horizontal="center"/>
    </xf>
    <xf numFmtId="164" fontId="23" fillId="0" borderId="16" xfId="1" applyNumberFormat="1" applyFont="1" applyBorder="1"/>
    <xf numFmtId="14" fontId="23" fillId="0" borderId="0" xfId="0" applyNumberFormat="1" applyFont="1" applyBorder="1" applyAlignment="1">
      <alignment horizontal="right" indent="1"/>
    </xf>
    <xf numFmtId="0" fontId="23" fillId="0" borderId="16" xfId="0" applyFont="1" applyBorder="1"/>
    <xf numFmtId="164" fontId="23" fillId="0" borderId="16" xfId="1" applyNumberFormat="1" applyFont="1" applyFill="1" applyBorder="1"/>
    <xf numFmtId="0" fontId="23" fillId="0" borderId="16" xfId="0" applyFont="1" applyFill="1" applyBorder="1"/>
    <xf numFmtId="0" fontId="23" fillId="0" borderId="16" xfId="0" applyFont="1" applyBorder="1" applyAlignment="1">
      <alignment horizontal="right"/>
    </xf>
    <xf numFmtId="164" fontId="23" fillId="0" borderId="16" xfId="0" applyNumberFormat="1" applyFont="1" applyBorder="1"/>
    <xf numFmtId="14" fontId="23" fillId="0" borderId="16" xfId="1" applyNumberFormat="1" applyFont="1" applyBorder="1"/>
    <xf numFmtId="0" fontId="23" fillId="0" borderId="0" xfId="0" applyFont="1" applyFill="1" applyBorder="1"/>
    <xf numFmtId="164" fontId="23" fillId="0" borderId="16" xfId="0" applyNumberFormat="1" applyFont="1" applyFill="1" applyBorder="1"/>
    <xf numFmtId="0" fontId="23" fillId="0" borderId="0" xfId="0" applyFont="1" applyFill="1"/>
    <xf numFmtId="14" fontId="23" fillId="0" borderId="17" xfId="1" applyNumberFormat="1" applyFont="1" applyBorder="1"/>
    <xf numFmtId="164" fontId="23" fillId="0" borderId="17" xfId="0" applyNumberFormat="1" applyFont="1" applyBorder="1"/>
    <xf numFmtId="43" fontId="23" fillId="0" borderId="17" xfId="1" applyFont="1" applyBorder="1"/>
    <xf numFmtId="164" fontId="23" fillId="0" borderId="0" xfId="0" applyNumberFormat="1" applyFont="1" applyFill="1" applyBorder="1"/>
    <xf numFmtId="0" fontId="23" fillId="0" borderId="17" xfId="0" applyFont="1" applyBorder="1" applyAlignment="1">
      <alignment horizontal="right"/>
    </xf>
    <xf numFmtId="164" fontId="23" fillId="0" borderId="17" xfId="0" applyNumberFormat="1" applyFont="1" applyFill="1" applyBorder="1"/>
    <xf numFmtId="0" fontId="27" fillId="0" borderId="0" xfId="0" applyFont="1" applyFill="1" applyBorder="1" applyAlignment="1"/>
    <xf numFmtId="14" fontId="24" fillId="0" borderId="0" xfId="0" applyNumberFormat="1" applyFont="1" applyBorder="1" applyAlignment="1">
      <alignment horizontal="right"/>
    </xf>
    <xf numFmtId="0" fontId="27" fillId="0" borderId="0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right"/>
    </xf>
    <xf numFmtId="165" fontId="23" fillId="0" borderId="0" xfId="0" applyNumberFormat="1" applyFont="1"/>
    <xf numFmtId="0" fontId="23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164" fontId="27" fillId="0" borderId="0" xfId="1" applyNumberFormat="1" applyFont="1" applyFill="1" applyBorder="1" applyAlignment="1">
      <alignment horizontal="left" vertical="center"/>
    </xf>
    <xf numFmtId="164" fontId="23" fillId="0" borderId="0" xfId="0" applyNumberFormat="1" applyFont="1" applyBorder="1" applyAlignment="1"/>
    <xf numFmtId="0" fontId="24" fillId="0" borderId="0" xfId="0" applyFont="1" applyFill="1" applyBorder="1" applyAlignment="1">
      <alignment horizontal="right"/>
    </xf>
    <xf numFmtId="164" fontId="23" fillId="0" borderId="0" xfId="1" applyNumberFormat="1" applyFont="1" applyFill="1" applyAlignment="1"/>
    <xf numFmtId="0" fontId="23" fillId="0" borderId="0" xfId="0" applyFont="1" applyFill="1" applyBorder="1" applyAlignment="1">
      <alignment horizontal="left" vertical="center"/>
    </xf>
    <xf numFmtId="0" fontId="27" fillId="0" borderId="0" xfId="0" applyFont="1" applyBorder="1" applyAlignment="1"/>
    <xf numFmtId="0" fontId="23" fillId="7" borderId="0" xfId="0" applyFont="1" applyFill="1" applyBorder="1" applyAlignment="1">
      <alignment horizontal="right"/>
    </xf>
    <xf numFmtId="164" fontId="23" fillId="0" borderId="25" xfId="1" applyNumberFormat="1" applyFont="1" applyFill="1" applyBorder="1" applyAlignment="1">
      <alignment horizontal="left" vertical="center" indent="3"/>
    </xf>
    <xf numFmtId="6" fontId="23" fillId="0" borderId="0" xfId="0" applyNumberFormat="1" applyFont="1" applyAlignment="1"/>
    <xf numFmtId="0" fontId="24" fillId="0" borderId="0" xfId="0" applyFont="1" applyAlignment="1"/>
    <xf numFmtId="164" fontId="23" fillId="0" borderId="0" xfId="1" applyNumberFormat="1" applyFont="1" applyFill="1" applyBorder="1" applyAlignment="1">
      <alignment horizontal="right"/>
    </xf>
    <xf numFmtId="164" fontId="27" fillId="0" borderId="0" xfId="1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right"/>
    </xf>
    <xf numFmtId="0" fontId="23" fillId="0" borderId="12" xfId="0" applyFont="1" applyBorder="1" applyAlignment="1"/>
    <xf numFmtId="168" fontId="25" fillId="0" borderId="0" xfId="1" applyNumberFormat="1" applyFont="1" applyFill="1" applyBorder="1" applyAlignment="1"/>
    <xf numFmtId="164" fontId="25" fillId="0" borderId="0" xfId="1" applyNumberFormat="1" applyFont="1" applyFill="1" applyBorder="1" applyAlignment="1"/>
    <xf numFmtId="0" fontId="23" fillId="0" borderId="0" xfId="0" applyFont="1" applyBorder="1" applyAlignment="1">
      <alignment horizontal="left"/>
    </xf>
    <xf numFmtId="164" fontId="23" fillId="0" borderId="3" xfId="1" applyNumberFormat="1" applyFont="1" applyBorder="1"/>
    <xf numFmtId="166" fontId="23" fillId="0" borderId="5" xfId="0" applyNumberFormat="1" applyFont="1" applyBorder="1"/>
    <xf numFmtId="9" fontId="23" fillId="0" borderId="0" xfId="2" applyFont="1" applyBorder="1"/>
    <xf numFmtId="43" fontId="25" fillId="0" borderId="0" xfId="1" applyFont="1"/>
    <xf numFmtId="164" fontId="23" fillId="0" borderId="5" xfId="1" applyNumberFormat="1" applyFont="1" applyBorder="1"/>
    <xf numFmtId="164" fontId="25" fillId="0" borderId="0" xfId="0" applyNumberFormat="1" applyFont="1"/>
    <xf numFmtId="43" fontId="25" fillId="0" borderId="0" xfId="1" applyNumberFormat="1" applyFont="1" applyBorder="1"/>
    <xf numFmtId="0" fontId="23" fillId="0" borderId="1" xfId="0" applyFont="1" applyBorder="1"/>
    <xf numFmtId="164" fontId="23" fillId="0" borderId="1" xfId="1" applyNumberFormat="1" applyFont="1" applyBorder="1"/>
    <xf numFmtId="0" fontId="24" fillId="0" borderId="15" xfId="0" applyFont="1" applyBorder="1" applyAlignment="1">
      <alignment horizontal="center" vertical="center" wrapText="1"/>
    </xf>
    <xf numFmtId="165" fontId="24" fillId="0" borderId="15" xfId="3" applyNumberFormat="1" applyFont="1" applyBorder="1" applyAlignment="1">
      <alignment horizontal="center" wrapText="1"/>
    </xf>
    <xf numFmtId="6" fontId="24" fillId="0" borderId="17" xfId="0" applyNumberFormat="1" applyFont="1" applyBorder="1" applyAlignment="1">
      <alignment horizontal="center" vertical="center" wrapText="1"/>
    </xf>
    <xf numFmtId="9" fontId="24" fillId="0" borderId="17" xfId="2" applyFont="1" applyBorder="1" applyAlignment="1">
      <alignment horizontal="center" wrapText="1"/>
    </xf>
    <xf numFmtId="165" fontId="24" fillId="0" borderId="4" xfId="3" applyNumberFormat="1" applyFont="1" applyBorder="1" applyAlignment="1">
      <alignment wrapText="1"/>
    </xf>
    <xf numFmtId="6" fontId="24" fillId="0" borderId="4" xfId="0" applyNumberFormat="1" applyFont="1" applyBorder="1" applyAlignment="1">
      <alignment horizontal="center"/>
    </xf>
    <xf numFmtId="0" fontId="23" fillId="0" borderId="9" xfId="0" applyFont="1" applyBorder="1"/>
    <xf numFmtId="164" fontId="23" fillId="0" borderId="16" xfId="0" applyNumberFormat="1" applyFont="1" applyBorder="1" applyAlignment="1">
      <alignment horizontal="center"/>
    </xf>
    <xf numFmtId="164" fontId="23" fillId="0" borderId="9" xfId="0" applyNumberFormat="1" applyFont="1" applyBorder="1"/>
    <xf numFmtId="164" fontId="23" fillId="0" borderId="17" xfId="0" applyNumberFormat="1" applyFont="1" applyBorder="1" applyAlignment="1">
      <alignment horizontal="center"/>
    </xf>
    <xf numFmtId="164" fontId="23" fillId="0" borderId="14" xfId="0" applyNumberFormat="1" applyFont="1" applyBorder="1"/>
    <xf numFmtId="0" fontId="23" fillId="0" borderId="0" xfId="0" quotePrefix="1" applyFont="1" applyAlignment="1">
      <alignment horizontal="right"/>
    </xf>
    <xf numFmtId="164" fontId="27" fillId="0" borderId="0" xfId="0" applyNumberFormat="1" applyFont="1" applyFill="1" applyBorder="1" applyAlignment="1">
      <alignment vertical="center"/>
    </xf>
    <xf numFmtId="0" fontId="24" fillId="0" borderId="0" xfId="0" applyFont="1" applyBorder="1" applyAlignment="1"/>
    <xf numFmtId="164" fontId="25" fillId="0" borderId="0" xfId="1" applyNumberFormat="1" applyFont="1" applyAlignment="1"/>
    <xf numFmtId="164" fontId="23" fillId="0" borderId="1" xfId="1" applyNumberFormat="1" applyFont="1" applyBorder="1" applyAlignment="1"/>
    <xf numFmtId="6" fontId="23" fillId="0" borderId="0" xfId="0" applyNumberFormat="1" applyFont="1" applyBorder="1"/>
    <xf numFmtId="6" fontId="23" fillId="0" borderId="5" xfId="1" applyNumberFormat="1" applyFont="1" applyBorder="1"/>
    <xf numFmtId="165" fontId="24" fillId="0" borderId="15" xfId="3" applyNumberFormat="1" applyFont="1" applyFill="1" applyBorder="1" applyAlignment="1">
      <alignment horizontal="center" wrapText="1"/>
    </xf>
    <xf numFmtId="165" fontId="24" fillId="0" borderId="15" xfId="3" applyNumberFormat="1" applyFont="1" applyBorder="1" applyAlignment="1">
      <alignment wrapText="1"/>
    </xf>
    <xf numFmtId="165" fontId="24" fillId="0" borderId="15" xfId="3" applyNumberFormat="1" applyFont="1" applyFill="1" applyBorder="1" applyAlignment="1">
      <alignment wrapText="1"/>
    </xf>
    <xf numFmtId="165" fontId="24" fillId="0" borderId="17" xfId="3" applyNumberFormat="1" applyFont="1" applyBorder="1" applyAlignment="1">
      <alignment wrapText="1"/>
    </xf>
    <xf numFmtId="164" fontId="24" fillId="0" borderId="4" xfId="1" applyNumberFormat="1" applyFont="1" applyBorder="1" applyAlignment="1">
      <alignment horizontal="center"/>
    </xf>
    <xf numFmtId="0" fontId="23" fillId="0" borderId="16" xfId="0" applyFont="1" applyFill="1" applyBorder="1" applyAlignment="1">
      <alignment horizontal="right"/>
    </xf>
    <xf numFmtId="164" fontId="23" fillId="0" borderId="19" xfId="0" applyNumberFormat="1" applyFont="1" applyBorder="1"/>
    <xf numFmtId="164" fontId="23" fillId="0" borderId="17" xfId="1" applyNumberFormat="1" applyFont="1" applyBorder="1"/>
    <xf numFmtId="0" fontId="24" fillId="0" borderId="0" xfId="0" applyFont="1" applyBorder="1"/>
    <xf numFmtId="0" fontId="23" fillId="0" borderId="1" xfId="0" applyFont="1" applyBorder="1" applyAlignment="1"/>
    <xf numFmtId="166" fontId="23" fillId="0" borderId="0" xfId="1" applyNumberFormat="1" applyFont="1" applyBorder="1"/>
    <xf numFmtId="164" fontId="23" fillId="5" borderId="0" xfId="1" applyNumberFormat="1" applyFont="1" applyFill="1" applyBorder="1"/>
    <xf numFmtId="10" fontId="23" fillId="0" borderId="1" xfId="0" applyNumberFormat="1" applyFont="1" applyBorder="1"/>
    <xf numFmtId="164" fontId="23" fillId="9" borderId="0" xfId="1" applyNumberFormat="1" applyFont="1" applyFill="1" applyBorder="1"/>
    <xf numFmtId="164" fontId="23" fillId="4" borderId="0" xfId="1" applyNumberFormat="1" applyFont="1" applyFill="1" applyBorder="1"/>
    <xf numFmtId="164" fontId="23" fillId="5" borderId="5" xfId="1" applyNumberFormat="1" applyFont="1" applyFill="1" applyBorder="1"/>
    <xf numFmtId="164" fontId="23" fillId="0" borderId="0" xfId="1" applyNumberFormat="1" applyFont="1" applyAlignment="1">
      <alignment horizontal="left" indent="1"/>
    </xf>
    <xf numFmtId="0" fontId="23" fillId="0" borderId="0" xfId="0" applyFont="1" applyAlignment="1">
      <alignment horizontal="left" indent="1"/>
    </xf>
    <xf numFmtId="164" fontId="23" fillId="9" borderId="5" xfId="1" applyNumberFormat="1" applyFont="1" applyFill="1" applyBorder="1"/>
    <xf numFmtId="6" fontId="23" fillId="0" borderId="0" xfId="0" applyNumberFormat="1" applyFont="1" applyBorder="1" applyAlignment="1">
      <alignment horizontal="right"/>
    </xf>
    <xf numFmtId="3" fontId="23" fillId="0" borderId="0" xfId="0" applyNumberFormat="1" applyFont="1" applyBorder="1"/>
    <xf numFmtId="9" fontId="23" fillId="0" borderId="0" xfId="0" applyNumberFormat="1" applyFont="1" applyBorder="1"/>
    <xf numFmtId="164" fontId="23" fillId="3" borderId="0" xfId="1" applyNumberFormat="1" applyFont="1" applyFill="1"/>
    <xf numFmtId="0" fontId="25" fillId="0" borderId="0" xfId="0" applyFont="1"/>
    <xf numFmtId="0" fontId="25" fillId="0" borderId="0" xfId="0" applyFont="1" applyBorder="1"/>
    <xf numFmtId="0" fontId="24" fillId="0" borderId="4" xfId="0" applyFont="1" applyBorder="1" applyAlignment="1"/>
    <xf numFmtId="164" fontId="24" fillId="0" borderId="4" xfId="1" applyNumberFormat="1" applyFont="1" applyBorder="1" applyAlignment="1">
      <alignment horizontal="center" wrapText="1"/>
    </xf>
    <xf numFmtId="0" fontId="24" fillId="0" borderId="4" xfId="0" applyFont="1" applyBorder="1" applyAlignment="1">
      <alignment horizontal="center" vertical="center"/>
    </xf>
    <xf numFmtId="6" fontId="24" fillId="0" borderId="4" xfId="0" applyNumberFormat="1" applyFont="1" applyBorder="1" applyAlignment="1">
      <alignment horizontal="center" wrapText="1"/>
    </xf>
    <xf numFmtId="6" fontId="24" fillId="0" borderId="0" xfId="0" applyNumberFormat="1" applyFont="1" applyBorder="1" applyAlignment="1">
      <alignment horizontal="center" wrapText="1"/>
    </xf>
    <xf numFmtId="167" fontId="24" fillId="0" borderId="4" xfId="2" applyNumberFormat="1" applyFont="1" applyBorder="1" applyAlignment="1">
      <alignment horizontal="center" wrapText="1"/>
    </xf>
    <xf numFmtId="165" fontId="24" fillId="0" borderId="4" xfId="3" applyNumberFormat="1" applyFont="1" applyBorder="1"/>
    <xf numFmtId="165" fontId="24" fillId="0" borderId="0" xfId="3" applyNumberFormat="1" applyFont="1" applyBorder="1"/>
    <xf numFmtId="15" fontId="23" fillId="0" borderId="20" xfId="0" applyNumberFormat="1" applyFont="1" applyBorder="1" applyAlignment="1">
      <alignment horizontal="right"/>
    </xf>
    <xf numFmtId="165" fontId="23" fillId="0" borderId="10" xfId="3" applyNumberFormat="1" applyFont="1" applyBorder="1"/>
    <xf numFmtId="164" fontId="23" fillId="0" borderId="7" xfId="1" applyNumberFormat="1" applyFont="1" applyBorder="1"/>
    <xf numFmtId="164" fontId="23" fillId="0" borderId="15" xfId="1" applyNumberFormat="1" applyFont="1" applyBorder="1"/>
    <xf numFmtId="0" fontId="23" fillId="0" borderId="4" xfId="0" applyFont="1" applyBorder="1"/>
    <xf numFmtId="164" fontId="24" fillId="0" borderId="4" xfId="0" applyNumberFormat="1" applyFont="1" applyBorder="1" applyAlignment="1">
      <alignment horizontal="center"/>
    </xf>
    <xf numFmtId="15" fontId="23" fillId="3" borderId="16" xfId="0" applyNumberFormat="1" applyFont="1" applyFill="1" applyBorder="1" applyAlignment="1">
      <alignment horizontal="right"/>
    </xf>
    <xf numFmtId="164" fontId="23" fillId="3" borderId="16" xfId="1" applyNumberFormat="1" applyFont="1" applyFill="1" applyBorder="1"/>
    <xf numFmtId="164" fontId="23" fillId="3" borderId="15" xfId="1" applyNumberFormat="1" applyFont="1" applyFill="1" applyBorder="1"/>
    <xf numFmtId="164" fontId="23" fillId="3" borderId="18" xfId="1" applyNumberFormat="1" applyFont="1" applyFill="1" applyBorder="1"/>
    <xf numFmtId="164" fontId="23" fillId="3" borderId="19" xfId="1" applyNumberFormat="1" applyFont="1" applyFill="1" applyBorder="1"/>
    <xf numFmtId="0" fontId="23" fillId="0" borderId="15" xfId="0" applyFont="1" applyBorder="1" applyAlignment="1">
      <alignment horizontal="right"/>
    </xf>
    <xf numFmtId="0" fontId="23" fillId="3" borderId="15" xfId="0" applyFont="1" applyFill="1" applyBorder="1" applyAlignment="1">
      <alignment horizontal="right"/>
    </xf>
    <xf numFmtId="0" fontId="23" fillId="3" borderId="16" xfId="0" applyFont="1" applyFill="1" applyBorder="1" applyAlignment="1">
      <alignment horizontal="right"/>
    </xf>
    <xf numFmtId="0" fontId="23" fillId="3" borderId="17" xfId="0" applyFont="1" applyFill="1" applyBorder="1" applyAlignment="1">
      <alignment horizontal="right"/>
    </xf>
    <xf numFmtId="164" fontId="23" fillId="3" borderId="14" xfId="1" applyNumberFormat="1" applyFont="1" applyFill="1" applyBorder="1"/>
    <xf numFmtId="164" fontId="23" fillId="5" borderId="22" xfId="1" applyNumberFormat="1" applyFont="1" applyFill="1" applyBorder="1"/>
    <xf numFmtId="15" fontId="23" fillId="3" borderId="17" xfId="0" applyNumberFormat="1" applyFont="1" applyFill="1" applyBorder="1" applyAlignment="1">
      <alignment horizontal="right"/>
    </xf>
    <xf numFmtId="164" fontId="23" fillId="3" borderId="17" xfId="1" applyNumberFormat="1" applyFont="1" applyFill="1" applyBorder="1"/>
    <xf numFmtId="164" fontId="23" fillId="4" borderId="19" xfId="1" applyNumberFormat="1" applyFont="1" applyFill="1" applyBorder="1"/>
    <xf numFmtId="10" fontId="23" fillId="0" borderId="16" xfId="0" applyNumberFormat="1" applyFont="1" applyBorder="1"/>
    <xf numFmtId="0" fontId="23" fillId="0" borderId="24" xfId="0" applyFont="1" applyBorder="1" applyAlignment="1">
      <alignment horizontal="right"/>
    </xf>
    <xf numFmtId="164" fontId="23" fillId="5" borderId="23" xfId="1" applyNumberFormat="1" applyFont="1" applyFill="1" applyBorder="1"/>
    <xf numFmtId="15" fontId="23" fillId="0" borderId="15" xfId="0" applyNumberFormat="1" applyFont="1" applyFill="1" applyBorder="1" applyAlignment="1">
      <alignment horizontal="right"/>
    </xf>
    <xf numFmtId="164" fontId="23" fillId="0" borderId="15" xfId="1" applyNumberFormat="1" applyFont="1" applyBorder="1" applyAlignment="1"/>
    <xf numFmtId="164" fontId="23" fillId="0" borderId="24" xfId="1" applyNumberFormat="1" applyFont="1" applyBorder="1" applyAlignment="1"/>
    <xf numFmtId="15" fontId="23" fillId="0" borderId="16" xfId="0" applyNumberFormat="1" applyFont="1" applyBorder="1" applyAlignment="1">
      <alignment horizontal="right"/>
    </xf>
    <xf numFmtId="10" fontId="25" fillId="0" borderId="16" xfId="0" applyNumberFormat="1" applyFont="1" applyBorder="1"/>
    <xf numFmtId="15" fontId="23" fillId="0" borderId="17" xfId="0" applyNumberFormat="1" applyFont="1" applyBorder="1" applyAlignment="1">
      <alignment horizontal="right"/>
    </xf>
    <xf numFmtId="10" fontId="23" fillId="0" borderId="17" xfId="0" applyNumberFormat="1" applyFont="1" applyBorder="1"/>
    <xf numFmtId="15" fontId="23" fillId="0" borderId="0" xfId="0" applyNumberFormat="1" applyFont="1" applyBorder="1" applyAlignment="1">
      <alignment horizontal="right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/>
    </xf>
    <xf numFmtId="15" fontId="23" fillId="0" borderId="0" xfId="0" applyNumberFormat="1" applyFont="1" applyBorder="1"/>
    <xf numFmtId="164" fontId="25" fillId="0" borderId="16" xfId="1" applyNumberFormat="1" applyFont="1" applyBorder="1"/>
    <xf numFmtId="164" fontId="25" fillId="0" borderId="16" xfId="0" applyNumberFormat="1" applyFont="1" applyBorder="1"/>
    <xf numFmtId="164" fontId="23" fillId="0" borderId="0" xfId="0" applyNumberFormat="1" applyFont="1" applyFill="1" applyBorder="1" applyAlignment="1">
      <alignment horizontal="left" vertical="center"/>
    </xf>
    <xf numFmtId="0" fontId="23" fillId="0" borderId="6" xfId="0" applyFont="1" applyFill="1" applyBorder="1" applyAlignment="1"/>
    <xf numFmtId="0" fontId="23" fillId="0" borderId="3" xfId="0" applyFont="1" applyFill="1" applyBorder="1" applyAlignment="1"/>
    <xf numFmtId="0" fontId="23" fillId="0" borderId="7" xfId="0" applyFont="1" applyFill="1" applyBorder="1" applyAlignment="1"/>
    <xf numFmtId="0" fontId="23" fillId="0" borderId="0" xfId="0" applyFont="1" applyFill="1" applyBorder="1" applyAlignment="1">
      <alignment wrapText="1"/>
    </xf>
    <xf numFmtId="0" fontId="23" fillId="0" borderId="0" xfId="0" quotePrefix="1" applyFont="1" applyBorder="1" applyAlignment="1">
      <alignment wrapText="1"/>
    </xf>
    <xf numFmtId="164" fontId="23" fillId="0" borderId="0" xfId="1" applyNumberFormat="1" applyFont="1" applyAlignment="1">
      <alignment horizontal="left"/>
    </xf>
    <xf numFmtId="0" fontId="23" fillId="0" borderId="0" xfId="0" applyFont="1" applyFill="1" applyBorder="1" applyAlignment="1">
      <alignment horizontal="left" wrapText="1"/>
    </xf>
    <xf numFmtId="0" fontId="23" fillId="0" borderId="0" xfId="0" quotePrefix="1" applyFont="1" applyBorder="1" applyAlignment="1">
      <alignment horizontal="left" wrapText="1"/>
    </xf>
    <xf numFmtId="165" fontId="23" fillId="0" borderId="0" xfId="3" applyNumberFormat="1" applyFont="1" applyBorder="1"/>
    <xf numFmtId="10" fontId="23" fillId="0" borderId="0" xfId="0" applyNumberFormat="1" applyFont="1" applyBorder="1"/>
    <xf numFmtId="14" fontId="23" fillId="0" borderId="0" xfId="0" applyNumberFormat="1" applyFont="1" applyBorder="1"/>
    <xf numFmtId="6" fontId="23" fillId="0" borderId="5" xfId="0" applyNumberFormat="1" applyFont="1" applyBorder="1"/>
    <xf numFmtId="164" fontId="23" fillId="0" borderId="0" xfId="1" quotePrefix="1" applyNumberFormat="1" applyFont="1"/>
    <xf numFmtId="164" fontId="23" fillId="0" borderId="5" xfId="1" applyNumberFormat="1" applyFont="1" applyFill="1" applyBorder="1"/>
    <xf numFmtId="0" fontId="24" fillId="0" borderId="17" xfId="0" applyFont="1" applyBorder="1" applyAlignment="1">
      <alignment horizontal="center" vertical="center"/>
    </xf>
    <xf numFmtId="6" fontId="24" fillId="0" borderId="17" xfId="0" applyNumberFormat="1" applyFont="1" applyBorder="1" applyAlignment="1">
      <alignment horizontal="center" wrapText="1"/>
    </xf>
    <xf numFmtId="164" fontId="23" fillId="0" borderId="18" xfId="1" applyNumberFormat="1" applyFont="1" applyBorder="1"/>
    <xf numFmtId="164" fontId="23" fillId="0" borderId="19" xfId="1" applyNumberFormat="1" applyFont="1" applyBorder="1"/>
    <xf numFmtId="0" fontId="23" fillId="0" borderId="15" xfId="0" applyFont="1" applyBorder="1" applyAlignment="1">
      <alignment horizontal="center"/>
    </xf>
    <xf numFmtId="164" fontId="23" fillId="0" borderId="15" xfId="1" applyNumberFormat="1" applyFont="1" applyBorder="1" applyAlignment="1">
      <alignment horizontal="center"/>
    </xf>
    <xf numFmtId="164" fontId="23" fillId="0" borderId="15" xfId="0" applyNumberFormat="1" applyFont="1" applyBorder="1"/>
    <xf numFmtId="15" fontId="23" fillId="0" borderId="14" xfId="0" applyNumberFormat="1" applyFont="1" applyBorder="1" applyAlignment="1">
      <alignment horizontal="right"/>
    </xf>
    <xf numFmtId="10" fontId="23" fillId="3" borderId="4" xfId="0" applyNumberFormat="1" applyFont="1" applyFill="1" applyBorder="1"/>
    <xf numFmtId="164" fontId="23" fillId="3" borderId="4" xfId="1" applyNumberFormat="1" applyFont="1" applyFill="1" applyBorder="1"/>
    <xf numFmtId="164" fontId="23" fillId="3" borderId="4" xfId="0" applyNumberFormat="1" applyFont="1" applyFill="1" applyBorder="1"/>
    <xf numFmtId="0" fontId="13" fillId="0" borderId="0" xfId="0" applyFont="1"/>
    <xf numFmtId="3" fontId="23" fillId="0" borderId="0" xfId="0" applyNumberFormat="1" applyFont="1"/>
    <xf numFmtId="0" fontId="23" fillId="0" borderId="19" xfId="0" applyFont="1" applyBorder="1" applyAlignment="1">
      <alignment horizontal="right"/>
    </xf>
    <xf numFmtId="164" fontId="23" fillId="0" borderId="30" xfId="1" applyNumberFormat="1" applyFont="1" applyBorder="1"/>
    <xf numFmtId="164" fontId="23" fillId="0" borderId="4" xfId="1" applyNumberFormat="1" applyFont="1" applyBorder="1"/>
    <xf numFmtId="164" fontId="3" fillId="0" borderId="16" xfId="1" applyNumberFormat="1" applyFont="1" applyBorder="1"/>
    <xf numFmtId="164" fontId="3" fillId="0" borderId="16" xfId="0" applyNumberFormat="1" applyFont="1" applyBorder="1"/>
    <xf numFmtId="165" fontId="24" fillId="0" borderId="15" xfId="3" applyNumberFormat="1" applyFont="1" applyBorder="1" applyAlignment="1">
      <alignment horizontal="center" vertical="center" wrapText="1"/>
    </xf>
    <xf numFmtId="165" fontId="24" fillId="0" borderId="16" xfId="3" applyNumberFormat="1" applyFont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center"/>
    </xf>
    <xf numFmtId="164" fontId="23" fillId="0" borderId="17" xfId="1" applyNumberFormat="1" applyFont="1" applyFill="1" applyBorder="1"/>
    <xf numFmtId="15" fontId="23" fillId="0" borderId="8" xfId="0" applyNumberFormat="1" applyFont="1" applyBorder="1" applyAlignment="1">
      <alignment horizontal="right"/>
    </xf>
    <xf numFmtId="165" fontId="8" fillId="0" borderId="0" xfId="2" applyNumberFormat="1" applyFont="1" applyFill="1"/>
    <xf numFmtId="0" fontId="30" fillId="0" borderId="0" xfId="0" applyFont="1" applyFill="1" applyAlignment="1">
      <alignment horizontal="center"/>
    </xf>
    <xf numFmtId="165" fontId="23" fillId="0" borderId="0" xfId="3" applyNumberFormat="1" applyFont="1" applyFill="1"/>
    <xf numFmtId="164" fontId="23" fillId="0" borderId="0" xfId="0" applyNumberFormat="1" applyFont="1" applyFill="1"/>
    <xf numFmtId="165" fontId="23" fillId="0" borderId="0" xfId="0" applyNumberFormat="1" applyFont="1" applyFill="1"/>
    <xf numFmtId="10" fontId="24" fillId="0" borderId="17" xfId="2" applyNumberFormat="1" applyFont="1" applyBorder="1" applyAlignment="1">
      <alignment horizontal="center" wrapText="1"/>
    </xf>
    <xf numFmtId="165" fontId="24" fillId="0" borderId="16" xfId="3" applyNumberFormat="1" applyFont="1" applyBorder="1" applyAlignment="1">
      <alignment vertical="center" wrapText="1"/>
    </xf>
    <xf numFmtId="165" fontId="24" fillId="0" borderId="17" xfId="3" applyNumberFormat="1" applyFont="1" applyBorder="1" applyAlignment="1">
      <alignment vertical="center" wrapText="1"/>
    </xf>
    <xf numFmtId="164" fontId="24" fillId="0" borderId="15" xfId="3" applyNumberFormat="1" applyFont="1" applyFill="1" applyBorder="1" applyAlignment="1">
      <alignment horizontal="center" vertical="center" wrapText="1"/>
    </xf>
    <xf numFmtId="164" fontId="24" fillId="0" borderId="16" xfId="3" applyNumberFormat="1" applyFont="1" applyFill="1" applyBorder="1" applyAlignment="1">
      <alignment horizontal="center" vertical="center" wrapText="1"/>
    </xf>
    <xf numFmtId="165" fontId="24" fillId="10" borderId="15" xfId="3" applyNumberFormat="1" applyFont="1" applyFill="1" applyBorder="1" applyAlignment="1">
      <alignment horizontal="center" wrapText="1"/>
    </xf>
    <xf numFmtId="165" fontId="24" fillId="10" borderId="15" xfId="3" applyNumberFormat="1" applyFont="1" applyFill="1" applyBorder="1" applyAlignment="1">
      <alignment horizontal="center" vertical="center" wrapText="1"/>
    </xf>
    <xf numFmtId="165" fontId="24" fillId="10" borderId="16" xfId="3" applyNumberFormat="1" applyFont="1" applyFill="1" applyBorder="1" applyAlignment="1">
      <alignment wrapText="1"/>
    </xf>
    <xf numFmtId="165" fontId="24" fillId="10" borderId="16" xfId="3" applyNumberFormat="1" applyFont="1" applyFill="1" applyBorder="1" applyAlignment="1">
      <alignment vertical="center" wrapText="1"/>
    </xf>
    <xf numFmtId="165" fontId="24" fillId="10" borderId="17" xfId="3" applyNumberFormat="1" applyFont="1" applyFill="1" applyBorder="1" applyAlignment="1">
      <alignment wrapText="1"/>
    </xf>
    <xf numFmtId="165" fontId="24" fillId="10" borderId="17" xfId="3" applyNumberFormat="1" applyFont="1" applyFill="1" applyBorder="1" applyAlignment="1">
      <alignment vertical="center" wrapText="1"/>
    </xf>
    <xf numFmtId="164" fontId="23" fillId="10" borderId="16" xfId="1" applyNumberFormat="1" applyFont="1" applyFill="1" applyBorder="1"/>
    <xf numFmtId="0" fontId="23" fillId="10" borderId="16" xfId="0" applyFont="1" applyFill="1" applyBorder="1"/>
    <xf numFmtId="164" fontId="23" fillId="10" borderId="16" xfId="0" applyNumberFormat="1" applyFont="1" applyFill="1" applyBorder="1"/>
    <xf numFmtId="9" fontId="23" fillId="0" borderId="0" xfId="0" applyNumberFormat="1" applyFont="1"/>
    <xf numFmtId="10" fontId="24" fillId="10" borderId="17" xfId="2" applyNumberFormat="1" applyFont="1" applyFill="1" applyBorder="1" applyAlignment="1">
      <alignment horizontal="center" wrapText="1"/>
    </xf>
    <xf numFmtId="9" fontId="23" fillId="0" borderId="0" xfId="0" applyNumberFormat="1" applyFont="1" applyFill="1" applyAlignment="1">
      <alignment horizontal="center"/>
    </xf>
    <xf numFmtId="164" fontId="23" fillId="0" borderId="0" xfId="1" quotePrefix="1" applyNumberFormat="1" applyFont="1" applyAlignment="1">
      <alignment horizontal="left"/>
    </xf>
    <xf numFmtId="164" fontId="23" fillId="0" borderId="0" xfId="1" quotePrefix="1" applyNumberFormat="1" applyFont="1" applyAlignment="1">
      <alignment horizontal="left" indent="1"/>
    </xf>
    <xf numFmtId="164" fontId="23" fillId="0" borderId="0" xfId="0" applyNumberFormat="1" applyFont="1" applyBorder="1" applyAlignment="1">
      <alignment wrapText="1"/>
    </xf>
    <xf numFmtId="164" fontId="0" fillId="0" borderId="0" xfId="0" applyNumberFormat="1" applyFont="1" applyBorder="1" applyAlignment="1">
      <alignment horizontal="center" wrapText="1"/>
    </xf>
    <xf numFmtId="164" fontId="23" fillId="0" borderId="0" xfId="0" applyNumberFormat="1" applyFont="1" applyFill="1" applyBorder="1" applyAlignment="1">
      <alignment wrapText="1"/>
    </xf>
    <xf numFmtId="164" fontId="23" fillId="0" borderId="0" xfId="1" applyNumberFormat="1" applyFont="1" applyFill="1" applyBorder="1" applyAlignment="1">
      <alignment wrapText="1"/>
    </xf>
    <xf numFmtId="0" fontId="23" fillId="0" borderId="0" xfId="0" quotePrefix="1" applyFont="1" applyBorder="1" applyAlignment="1">
      <alignment horizontal="right"/>
    </xf>
    <xf numFmtId="165" fontId="23" fillId="10" borderId="0" xfId="3" applyNumberFormat="1" applyFont="1" applyFill="1"/>
    <xf numFmtId="0" fontId="23" fillId="10" borderId="0" xfId="0" applyFont="1" applyFill="1"/>
    <xf numFmtId="164" fontId="23" fillId="10" borderId="0" xfId="0" applyNumberFormat="1" applyFont="1" applyFill="1"/>
    <xf numFmtId="0" fontId="8" fillId="0" borderId="9" xfId="0" quotePrefix="1" applyFont="1" applyBorder="1" applyAlignment="1">
      <alignment horizontal="right"/>
    </xf>
    <xf numFmtId="164" fontId="8" fillId="0" borderId="13" xfId="0" applyNumberFormat="1" applyFont="1" applyBorder="1"/>
    <xf numFmtId="0" fontId="8" fillId="0" borderId="14" xfId="0" applyFont="1" applyBorder="1" applyAlignment="1">
      <alignment horizontal="left" indent="1"/>
    </xf>
    <xf numFmtId="165" fontId="8" fillId="0" borderId="3" xfId="3" applyNumberFormat="1" applyFont="1" applyBorder="1"/>
    <xf numFmtId="165" fontId="8" fillId="0" borderId="1" xfId="3" applyNumberFormat="1" applyFont="1" applyBorder="1"/>
    <xf numFmtId="165" fontId="23" fillId="0" borderId="5" xfId="3" applyNumberFormat="1" applyFont="1" applyBorder="1"/>
    <xf numFmtId="164" fontId="23" fillId="0" borderId="8" xfId="1" applyNumberFormat="1" applyFont="1" applyBorder="1"/>
    <xf numFmtId="0" fontId="4" fillId="2" borderId="0" xfId="0" applyFont="1" applyFill="1" applyBorder="1" applyAlignment="1">
      <alignment vertical="center"/>
    </xf>
    <xf numFmtId="0" fontId="0" fillId="0" borderId="16" xfId="0" applyFont="1" applyBorder="1" applyAlignment="1">
      <alignment horizontal="right"/>
    </xf>
    <xf numFmtId="164" fontId="8" fillId="0" borderId="3" xfId="1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164" fontId="0" fillId="0" borderId="0" xfId="0" applyNumberFormat="1" applyFill="1" applyBorder="1" applyAlignment="1"/>
    <xf numFmtId="164" fontId="0" fillId="0" borderId="5" xfId="1" applyNumberFormat="1" applyFont="1" applyFill="1" applyBorder="1" applyAlignment="1"/>
    <xf numFmtId="6" fontId="27" fillId="0" borderId="0" xfId="0" applyNumberFormat="1" applyFont="1" applyAlignment="1"/>
    <xf numFmtId="0" fontId="23" fillId="0" borderId="0" xfId="0" applyFont="1" applyAlignment="1">
      <alignment horizontal="left" indent="2"/>
    </xf>
    <xf numFmtId="0" fontId="8" fillId="0" borderId="9" xfId="0" applyFont="1" applyBorder="1" applyAlignment="1">
      <alignment horizontal="center"/>
    </xf>
    <xf numFmtId="0" fontId="8" fillId="0" borderId="14" xfId="0" quotePrefix="1" applyFont="1" applyBorder="1" applyAlignment="1">
      <alignment horizontal="right" vertical="top"/>
    </xf>
    <xf numFmtId="0" fontId="16" fillId="0" borderId="7" xfId="0" applyFont="1" applyBorder="1" applyAlignment="1">
      <alignment horizontal="center"/>
    </xf>
    <xf numFmtId="166" fontId="8" fillId="0" borderId="0" xfId="3" applyNumberFormat="1" applyFont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0" fontId="8" fillId="0" borderId="14" xfId="0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165" fontId="8" fillId="0" borderId="12" xfId="3" applyNumberFormat="1" applyFont="1" applyBorder="1" applyAlignment="1">
      <alignment horizontal="right"/>
    </xf>
    <xf numFmtId="165" fontId="8" fillId="0" borderId="12" xfId="3" applyNumberFormat="1" applyFont="1" applyBorder="1"/>
    <xf numFmtId="8" fontId="8" fillId="0" borderId="0" xfId="0" applyNumberFormat="1" applyFont="1" applyBorder="1"/>
    <xf numFmtId="8" fontId="23" fillId="0" borderId="0" xfId="0" applyNumberFormat="1" applyFont="1" applyBorder="1"/>
    <xf numFmtId="0" fontId="25" fillId="0" borderId="0" xfId="0" applyFont="1" applyAlignment="1"/>
    <xf numFmtId="164" fontId="25" fillId="0" borderId="0" xfId="1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/>
    <xf numFmtId="8" fontId="23" fillId="0" borderId="0" xfId="0" applyNumberFormat="1" applyFont="1" applyAlignment="1">
      <alignment horizontal="left"/>
    </xf>
    <xf numFmtId="43" fontId="27" fillId="0" borderId="0" xfId="0" applyNumberFormat="1" applyFont="1" applyFill="1" applyBorder="1" applyAlignment="1">
      <alignment vertical="center"/>
    </xf>
    <xf numFmtId="165" fontId="2" fillId="0" borderId="15" xfId="3" applyNumberFormat="1" applyFont="1" applyFill="1" applyBorder="1" applyAlignment="1">
      <alignment horizontal="center" wrapText="1"/>
    </xf>
    <xf numFmtId="164" fontId="2" fillId="0" borderId="1" xfId="1" applyNumberFormat="1" applyFont="1" applyBorder="1" applyAlignment="1">
      <alignment horizontal="center"/>
    </xf>
    <xf numFmtId="164" fontId="16" fillId="0" borderId="1" xfId="1" applyNumberFormat="1" applyFont="1" applyBorder="1" applyAlignment="1">
      <alignment horizontal="center"/>
    </xf>
    <xf numFmtId="165" fontId="8" fillId="10" borderId="0" xfId="0" applyNumberFormat="1" applyFont="1" applyFill="1"/>
    <xf numFmtId="165" fontId="8" fillId="10" borderId="0" xfId="3" applyNumberFormat="1" applyFont="1" applyFill="1"/>
    <xf numFmtId="0" fontId="27" fillId="0" borderId="0" xfId="0" applyFont="1" applyAlignment="1">
      <alignment horizontal="left" vertical="center" readingOrder="1"/>
    </xf>
    <xf numFmtId="165" fontId="8" fillId="0" borderId="1" xfId="0" applyNumberFormat="1" applyFont="1" applyFill="1" applyBorder="1"/>
    <xf numFmtId="6" fontId="0" fillId="0" borderId="5" xfId="1" applyNumberFormat="1" applyFont="1" applyBorder="1"/>
    <xf numFmtId="172" fontId="8" fillId="0" borderId="0" xfId="0" applyNumberFormat="1" applyFont="1" applyBorder="1"/>
    <xf numFmtId="0" fontId="8" fillId="0" borderId="0" xfId="0" applyFont="1" applyFill="1" applyBorder="1" applyAlignment="1">
      <alignment horizontal="left" indent="1"/>
    </xf>
    <xf numFmtId="10" fontId="8" fillId="0" borderId="0" xfId="0" applyNumberFormat="1" applyFont="1" applyFill="1" applyBorder="1"/>
    <xf numFmtId="49" fontId="8" fillId="0" borderId="0" xfId="0" applyNumberFormat="1" applyFont="1" applyFill="1" applyBorder="1"/>
    <xf numFmtId="0" fontId="23" fillId="0" borderId="18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164" fontId="24" fillId="0" borderId="4" xfId="1" applyNumberFormat="1" applyFont="1" applyBorder="1" applyAlignment="1">
      <alignment horizontal="center" wrapText="1"/>
    </xf>
    <xf numFmtId="164" fontId="24" fillId="0" borderId="15" xfId="1" applyNumberFormat="1" applyFont="1" applyBorder="1" applyAlignment="1">
      <alignment horizontal="center" wrapText="1"/>
    </xf>
    <xf numFmtId="0" fontId="24" fillId="0" borderId="4" xfId="0" applyFont="1" applyBorder="1" applyAlignment="1">
      <alignment horizontal="center"/>
    </xf>
    <xf numFmtId="164" fontId="24" fillId="0" borderId="17" xfId="1" applyNumberFormat="1" applyFont="1" applyBorder="1" applyAlignment="1">
      <alignment horizont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/>
    </xf>
    <xf numFmtId="0" fontId="23" fillId="0" borderId="18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left"/>
    </xf>
    <xf numFmtId="0" fontId="23" fillId="0" borderId="3" xfId="0" applyFont="1" applyFill="1" applyBorder="1" applyAlignment="1">
      <alignment horizontal="left"/>
    </xf>
    <xf numFmtId="0" fontId="23" fillId="0" borderId="7" xfId="0" applyFont="1" applyFill="1" applyBorder="1" applyAlignment="1">
      <alignment horizontal="left"/>
    </xf>
    <xf numFmtId="0" fontId="23" fillId="3" borderId="6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23" fillId="3" borderId="18" xfId="0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23" fillId="3" borderId="9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23" fillId="3" borderId="12" xfId="0" applyFont="1" applyFill="1" applyBorder="1" applyAlignment="1">
      <alignment horizontal="center"/>
    </xf>
    <xf numFmtId="0" fontId="23" fillId="3" borderId="14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3" borderId="13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4" xfId="1" applyNumberFormat="1" applyFont="1" applyBorder="1" applyAlignment="1">
      <alignment horizontal="center" wrapText="1"/>
    </xf>
    <xf numFmtId="164" fontId="2" fillId="0" borderId="15" xfId="1" applyNumberFormat="1" applyFont="1" applyBorder="1" applyAlignment="1">
      <alignment horizontal="center" wrapText="1"/>
    </xf>
    <xf numFmtId="0" fontId="0" fillId="3" borderId="1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6" fillId="0" borderId="4" xfId="1" applyNumberFormat="1" applyFont="1" applyBorder="1" applyAlignment="1">
      <alignment horizontal="center" wrapText="1"/>
    </xf>
    <xf numFmtId="164" fontId="2" fillId="0" borderId="17" xfId="1" applyNumberFormat="1" applyFont="1" applyBorder="1" applyAlignment="1">
      <alignment horizontal="center" wrapText="1"/>
    </xf>
    <xf numFmtId="0" fontId="23" fillId="0" borderId="8" xfId="0" quotePrefix="1" applyFont="1" applyFill="1" applyBorder="1" applyAlignment="1">
      <alignment horizontal="center" wrapText="1"/>
    </xf>
    <xf numFmtId="0" fontId="23" fillId="0" borderId="0" xfId="0" quotePrefix="1" applyFont="1" applyFill="1" applyBorder="1" applyAlignment="1">
      <alignment horizontal="center" wrapText="1"/>
    </xf>
    <xf numFmtId="0" fontId="24" fillId="0" borderId="18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0" fontId="24" fillId="0" borderId="4" xfId="0" applyFont="1" applyBorder="1" applyAlignment="1">
      <alignment horizontal="center" vertical="center"/>
    </xf>
    <xf numFmtId="165" fontId="24" fillId="0" borderId="15" xfId="3" applyNumberFormat="1" applyFont="1" applyFill="1" applyBorder="1" applyAlignment="1">
      <alignment horizontal="center" wrapText="1"/>
    </xf>
    <xf numFmtId="165" fontId="24" fillId="0" borderId="17" xfId="3" applyNumberFormat="1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165" fontId="24" fillId="0" borderId="4" xfId="3" applyNumberFormat="1" applyFont="1" applyBorder="1" applyAlignment="1">
      <alignment horizontal="center" wrapText="1"/>
    </xf>
    <xf numFmtId="0" fontId="23" fillId="0" borderId="9" xfId="0" applyFont="1" applyBorder="1" applyAlignment="1">
      <alignment horizontal="right"/>
    </xf>
    <xf numFmtId="0" fontId="23" fillId="0" borderId="12" xfId="0" applyFont="1" applyBorder="1" applyAlignment="1">
      <alignment horizontal="right"/>
    </xf>
    <xf numFmtId="0" fontId="23" fillId="0" borderId="14" xfId="0" applyFont="1" applyBorder="1" applyAlignment="1">
      <alignment horizontal="right"/>
    </xf>
    <xf numFmtId="0" fontId="23" fillId="0" borderId="13" xfId="0" applyFont="1" applyBorder="1" applyAlignment="1">
      <alignment horizontal="right"/>
    </xf>
    <xf numFmtId="165" fontId="24" fillId="0" borderId="15" xfId="3" applyNumberFormat="1" applyFont="1" applyBorder="1" applyAlignment="1">
      <alignment horizontal="center" vertical="center" wrapText="1"/>
    </xf>
    <xf numFmtId="165" fontId="24" fillId="0" borderId="17" xfId="3" applyNumberFormat="1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166" fontId="8" fillId="0" borderId="16" xfId="0" applyNumberFormat="1" applyFont="1" applyBorder="1" applyAlignment="1">
      <alignment horizontal="center" wrapText="1"/>
    </xf>
    <xf numFmtId="166" fontId="8" fillId="0" borderId="17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6" fontId="8" fillId="0" borderId="15" xfId="0" applyNumberFormat="1" applyFont="1" applyBorder="1" applyAlignment="1">
      <alignment horizontal="center" wrapText="1"/>
    </xf>
    <xf numFmtId="164" fontId="8" fillId="0" borderId="6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5" fontId="2" fillId="0" borderId="15" xfId="3" applyNumberFormat="1" applyFont="1" applyFill="1" applyBorder="1" applyAlignment="1">
      <alignment horizontal="center" wrapText="1"/>
    </xf>
    <xf numFmtId="165" fontId="2" fillId="0" borderId="16" xfId="3" applyNumberFormat="1" applyFont="1" applyFill="1" applyBorder="1" applyAlignment="1">
      <alignment horizontal="center" wrapText="1"/>
    </xf>
    <xf numFmtId="165" fontId="2" fillId="0" borderId="15" xfId="3" applyNumberFormat="1" applyFont="1" applyBorder="1" applyAlignment="1">
      <alignment horizontal="center" wrapText="1"/>
    </xf>
    <xf numFmtId="165" fontId="2" fillId="0" borderId="16" xfId="3" applyNumberFormat="1" applyFont="1" applyBorder="1" applyAlignment="1">
      <alignment horizontal="center" wrapText="1"/>
    </xf>
    <xf numFmtId="165" fontId="2" fillId="0" borderId="17" xfId="3" applyNumberFormat="1" applyFont="1" applyBorder="1" applyAlignment="1">
      <alignment horizontal="center" wrapText="1"/>
    </xf>
    <xf numFmtId="165" fontId="2" fillId="0" borderId="15" xfId="3" applyNumberFormat="1" applyFont="1" applyFill="1" applyBorder="1" applyAlignment="1">
      <alignment horizontal="center" vertical="center" wrapText="1"/>
    </xf>
    <xf numFmtId="165" fontId="2" fillId="0" borderId="16" xfId="3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5" fontId="2" fillId="0" borderId="17" xfId="3" applyNumberFormat="1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166" fontId="8" fillId="0" borderId="16" xfId="0" applyNumberFormat="1" applyFont="1" applyFill="1" applyBorder="1" applyAlignment="1">
      <alignment horizontal="center" wrapText="1"/>
    </xf>
    <xf numFmtId="166" fontId="8" fillId="0" borderId="17" xfId="0" applyNumberFormat="1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24" fillId="0" borderId="18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165" fontId="24" fillId="0" borderId="16" xfId="3" applyNumberFormat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65" fontId="24" fillId="0" borderId="15" xfId="3" applyNumberFormat="1" applyFont="1" applyBorder="1" applyAlignment="1">
      <alignment horizontal="center" wrapText="1"/>
    </xf>
    <xf numFmtId="165" fontId="24" fillId="0" borderId="16" xfId="3" applyNumberFormat="1" applyFont="1" applyBorder="1" applyAlignment="1">
      <alignment horizontal="center" wrapText="1"/>
    </xf>
    <xf numFmtId="165" fontId="24" fillId="0" borderId="16" xfId="3" applyNumberFormat="1" applyFont="1" applyFill="1" applyBorder="1" applyAlignment="1">
      <alignment horizontal="center" wrapText="1"/>
    </xf>
    <xf numFmtId="164" fontId="24" fillId="0" borderId="15" xfId="3" applyNumberFormat="1" applyFont="1" applyFill="1" applyBorder="1" applyAlignment="1">
      <alignment horizontal="center" wrapText="1"/>
    </xf>
    <xf numFmtId="164" fontId="24" fillId="0" borderId="16" xfId="3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165" fontId="16" fillId="0" borderId="15" xfId="3" applyNumberFormat="1" applyFont="1" applyBorder="1" applyAlignment="1">
      <alignment horizontal="center" wrapText="1"/>
    </xf>
    <xf numFmtId="165" fontId="16" fillId="0" borderId="16" xfId="3" applyNumberFormat="1" applyFont="1" applyBorder="1" applyAlignment="1">
      <alignment horizontal="center" wrapText="1"/>
    </xf>
    <xf numFmtId="0" fontId="16" fillId="0" borderId="1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165" fontId="16" fillId="0" borderId="15" xfId="3" applyNumberFormat="1" applyFont="1" applyBorder="1" applyAlignment="1">
      <alignment horizontal="center" vertical="center" wrapText="1"/>
    </xf>
    <xf numFmtId="165" fontId="16" fillId="0" borderId="16" xfId="3" applyNumberFormat="1" applyFont="1" applyBorder="1" applyAlignment="1">
      <alignment horizontal="center" vertical="center" wrapText="1"/>
    </xf>
    <xf numFmtId="165" fontId="16" fillId="0" borderId="17" xfId="3" applyNumberFormat="1" applyFont="1" applyBorder="1" applyAlignment="1">
      <alignment horizontal="center" vertical="center" wrapText="1"/>
    </xf>
    <xf numFmtId="164" fontId="16" fillId="0" borderId="15" xfId="3" applyNumberFormat="1" applyFont="1" applyFill="1" applyBorder="1" applyAlignment="1">
      <alignment horizontal="center" vertical="center" wrapText="1"/>
    </xf>
    <xf numFmtId="164" fontId="16" fillId="0" borderId="16" xfId="3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/>
    </xf>
    <xf numFmtId="164" fontId="16" fillId="0" borderId="1" xfId="1" applyNumberFormat="1" applyFont="1" applyBorder="1" applyAlignment="1">
      <alignment horizontal="center"/>
    </xf>
    <xf numFmtId="164" fontId="8" fillId="0" borderId="3" xfId="1" applyNumberFormat="1" applyFont="1" applyBorder="1" applyAlignment="1">
      <alignment horizontal="center" wrapText="1"/>
    </xf>
    <xf numFmtId="164" fontId="8" fillId="0" borderId="3" xfId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8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8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16" fillId="0" borderId="6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164" fontId="8" fillId="0" borderId="1" xfId="1" applyNumberFormat="1" applyFont="1" applyBorder="1" applyAlignment="1">
      <alignment horizontal="center"/>
    </xf>
    <xf numFmtId="164" fontId="8" fillId="0" borderId="13" xfId="1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  <color rgb="FF0C07D7"/>
      <color rgb="FFFFCCFF"/>
      <color rgb="FF9999FF"/>
      <color rgb="FF99CC00"/>
      <color rgb="FFFF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1</xdr:row>
          <xdr:rowOff>85725</xdr:rowOff>
        </xdr:from>
        <xdr:to>
          <xdr:col>9</xdr:col>
          <xdr:colOff>885825</xdr:colOff>
          <xdr:row>31</xdr:row>
          <xdr:rowOff>95250</xdr:rowOff>
        </xdr:to>
        <xdr:sp macro="" textlink="">
          <xdr:nvSpPr>
            <xdr:cNvPr id="20482" name="Object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</xdr:colOff>
      <xdr:row>23</xdr:row>
      <xdr:rowOff>221117</xdr:rowOff>
    </xdr:from>
    <xdr:to>
      <xdr:col>8</xdr:col>
      <xdr:colOff>780804</xdr:colOff>
      <xdr:row>28</xdr:row>
      <xdr:rowOff>609407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6575" y="5507492"/>
          <a:ext cx="1961905" cy="1540815"/>
        </a:xfrm>
        <a:prstGeom prst="rect">
          <a:avLst/>
        </a:prstGeom>
      </xdr:spPr>
    </xdr:pic>
    <xdr:clientData/>
  </xdr:twoCellAnchor>
  <xdr:twoCellAnchor>
    <xdr:from>
      <xdr:col>6</xdr:col>
      <xdr:colOff>909639</xdr:colOff>
      <xdr:row>28</xdr:row>
      <xdr:rowOff>581025</xdr:rowOff>
    </xdr:from>
    <xdr:to>
      <xdr:col>7</xdr:col>
      <xdr:colOff>71437</xdr:colOff>
      <xdr:row>29</xdr:row>
      <xdr:rowOff>119062</xdr:rowOff>
    </xdr:to>
    <xdr:cxnSp macro="">
      <xdr:nvCxnSpPr>
        <xdr:cNvPr id="6" name="Straight Arrow Connector 5"/>
        <xdr:cNvCxnSpPr/>
      </xdr:nvCxnSpPr>
      <xdr:spPr>
        <a:xfrm flipH="1">
          <a:off x="6834189" y="7019925"/>
          <a:ext cx="100011" cy="681037"/>
        </a:xfrm>
        <a:prstGeom prst="straightConnector1">
          <a:avLst/>
        </a:prstGeom>
        <a:ln w="12700">
          <a:solidFill>
            <a:srgbClr val="0C07D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1023937</xdr:colOff>
      <xdr:row>28</xdr:row>
      <xdr:rowOff>605518</xdr:rowOff>
    </xdr:from>
    <xdr:to>
      <xdr:col>8</xdr:col>
      <xdr:colOff>442232</xdr:colOff>
      <xdr:row>70</xdr:row>
      <xdr:rowOff>42863</xdr:rowOff>
    </xdr:to>
    <xdr:cxnSp macro="">
      <xdr:nvCxnSpPr>
        <xdr:cNvPr id="9" name="Straight Arrow Connector 8"/>
        <xdr:cNvCxnSpPr/>
      </xdr:nvCxnSpPr>
      <xdr:spPr>
        <a:xfrm flipH="1">
          <a:off x="8439830" y="7082518"/>
          <a:ext cx="506866" cy="10064524"/>
        </a:xfrm>
        <a:prstGeom prst="straightConnector1">
          <a:avLst/>
        </a:prstGeom>
        <a:ln w="12700">
          <a:solidFill>
            <a:srgbClr val="0C07D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133347</xdr:colOff>
      <xdr:row>27</xdr:row>
      <xdr:rowOff>166688</xdr:rowOff>
    </xdr:from>
    <xdr:to>
      <xdr:col>8</xdr:col>
      <xdr:colOff>179066</xdr:colOff>
      <xdr:row>28</xdr:row>
      <xdr:rowOff>85725</xdr:rowOff>
    </xdr:to>
    <xdr:sp macro="" textlink="">
      <xdr:nvSpPr>
        <xdr:cNvPr id="10" name="TextBox 9"/>
        <xdr:cNvSpPr txBox="1"/>
      </xdr:nvSpPr>
      <xdr:spPr>
        <a:xfrm flipH="1">
          <a:off x="8186735" y="6376988"/>
          <a:ext cx="45719" cy="14763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7</xdr:row>
      <xdr:rowOff>138113</xdr:rowOff>
    </xdr:from>
    <xdr:to>
      <xdr:col>9</xdr:col>
      <xdr:colOff>223591</xdr:colOff>
      <xdr:row>15</xdr:row>
      <xdr:rowOff>156967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0" y="1538288"/>
          <a:ext cx="1971429" cy="1571429"/>
        </a:xfrm>
        <a:prstGeom prst="rect">
          <a:avLst/>
        </a:prstGeom>
      </xdr:spPr>
    </xdr:pic>
    <xdr:clientData/>
  </xdr:twoCellAnchor>
  <xdr:twoCellAnchor>
    <xdr:from>
      <xdr:col>8</xdr:col>
      <xdr:colOff>471488</xdr:colOff>
      <xdr:row>12</xdr:row>
      <xdr:rowOff>57150</xdr:rowOff>
    </xdr:from>
    <xdr:to>
      <xdr:col>8</xdr:col>
      <xdr:colOff>547688</xdr:colOff>
      <xdr:row>13</xdr:row>
      <xdr:rowOff>19050</xdr:rowOff>
    </xdr:to>
    <xdr:sp macro="" textlink="">
      <xdr:nvSpPr>
        <xdr:cNvPr id="3" name="TextBox 2"/>
        <xdr:cNvSpPr txBox="1"/>
      </xdr:nvSpPr>
      <xdr:spPr>
        <a:xfrm>
          <a:off x="7158038" y="2409825"/>
          <a:ext cx="762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0:M10"/>
  <sheetViews>
    <sheetView workbookViewId="0"/>
  </sheetViews>
  <sheetFormatPr defaultRowHeight="15" x14ac:dyDescent="0.25"/>
  <cols>
    <col min="10" max="10" width="14" customWidth="1"/>
  </cols>
  <sheetData>
    <row r="10" spans="2:13" ht="27" customHeight="1" x14ac:dyDescent="0.25"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</row>
  </sheetData>
  <pageMargins left="0.7" right="0.7" top="0.75" bottom="0.75" header="0.3" footer="0.3"/>
  <pageSetup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12" shapeId="20482" r:id="rId4">
          <objectPr defaultSize="0" autoPict="0" r:id="rId5">
            <anchor moveWithCells="1">
              <from>
                <xdr:col>0</xdr:col>
                <xdr:colOff>647700</xdr:colOff>
                <xdr:row>1</xdr:row>
                <xdr:rowOff>85725</xdr:rowOff>
              </from>
              <to>
                <xdr:col>9</xdr:col>
                <xdr:colOff>885825</xdr:colOff>
                <xdr:row>31</xdr:row>
                <xdr:rowOff>95250</xdr:rowOff>
              </to>
            </anchor>
          </objectPr>
        </oleObject>
      </mc:Choice>
      <mc:Fallback>
        <oleObject progId="Word.Document.12" shapeId="20482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workbookViewId="0"/>
  </sheetViews>
  <sheetFormatPr defaultRowHeight="15" x14ac:dyDescent="0.25"/>
  <cols>
    <col min="1" max="1" width="5" customWidth="1"/>
    <col min="2" max="2" width="13.42578125" style="8" customWidth="1"/>
    <col min="3" max="3" width="11.5703125" style="1" customWidth="1"/>
    <col min="4" max="4" width="11.140625" style="1" customWidth="1"/>
    <col min="5" max="5" width="11.42578125" style="1" customWidth="1"/>
    <col min="6" max="6" width="10.85546875" style="1" bestFit="1" customWidth="1"/>
    <col min="7" max="7" width="9.140625" customWidth="1"/>
    <col min="8" max="8" width="11.5703125" bestFit="1" customWidth="1"/>
    <col min="9" max="9" width="11.140625" customWidth="1"/>
    <col min="10" max="11" width="9.140625" customWidth="1"/>
    <col min="12" max="12" width="10.7109375" customWidth="1"/>
    <col min="13" max="13" width="5" customWidth="1"/>
    <col min="14" max="14" width="16.5703125" customWidth="1"/>
    <col min="15" max="15" width="12.28515625" customWidth="1"/>
    <col min="16" max="16" width="11.140625" customWidth="1"/>
    <col min="17" max="17" width="6.42578125" customWidth="1"/>
    <col min="18" max="18" width="14.7109375" customWidth="1"/>
  </cols>
  <sheetData>
    <row r="1" spans="1:19" ht="18.75" x14ac:dyDescent="0.25">
      <c r="A1" s="334" t="s">
        <v>728</v>
      </c>
      <c r="E1" s="84"/>
    </row>
    <row r="3" spans="1:19" ht="14.25" customHeight="1" x14ac:dyDescent="0.25">
      <c r="B3" s="772" t="s">
        <v>88</v>
      </c>
      <c r="C3" s="772"/>
      <c r="D3" s="772"/>
      <c r="E3" s="772"/>
      <c r="F3" s="772"/>
      <c r="H3" s="772" t="s">
        <v>21</v>
      </c>
      <c r="I3" s="772"/>
      <c r="J3" s="772"/>
      <c r="K3" s="772"/>
      <c r="L3" s="772"/>
      <c r="M3" s="772"/>
    </row>
    <row r="4" spans="1:19" x14ac:dyDescent="0.25">
      <c r="B4" s="14">
        <f>+'Example 2 Assumptions Summary '!E5</f>
        <v>168000</v>
      </c>
      <c r="C4" s="1" t="s">
        <v>86</v>
      </c>
      <c r="H4" s="327">
        <f>+P25</f>
        <v>1325380</v>
      </c>
      <c r="I4" t="s">
        <v>91</v>
      </c>
    </row>
    <row r="5" spans="1:19" x14ac:dyDescent="0.25">
      <c r="B5" s="99">
        <f>+'Example 2 Assumptions Summary '!E7</f>
        <v>1.7500000000000002E-2</v>
      </c>
      <c r="C5" s="1" t="s">
        <v>108</v>
      </c>
      <c r="H5" s="326">
        <f>+B8</f>
        <v>-1009312</v>
      </c>
      <c r="I5" s="8" t="s">
        <v>92</v>
      </c>
    </row>
    <row r="6" spans="1:19" ht="15.75" thickBot="1" x14ac:dyDescent="0.3">
      <c r="B6" s="126">
        <f>ROUND(-PV(+B5,1,B4),0)</f>
        <v>165111</v>
      </c>
      <c r="C6" s="273" t="s">
        <v>863</v>
      </c>
      <c r="H6" s="129">
        <f>SUM(H4:H5)</f>
        <v>316068</v>
      </c>
      <c r="I6" s="8" t="s">
        <v>93</v>
      </c>
    </row>
    <row r="7" spans="1:19" ht="16.5" thickTop="1" x14ac:dyDescent="0.25">
      <c r="B7" s="126">
        <f>+F26</f>
        <v>1174423</v>
      </c>
      <c r="C7" s="1" t="s">
        <v>90</v>
      </c>
      <c r="H7" s="429"/>
      <c r="N7" s="92"/>
      <c r="O7" s="8"/>
    </row>
    <row r="8" spans="1:19" ht="16.5" thickBot="1" x14ac:dyDescent="0.3">
      <c r="B8" s="325">
        <f>+B6-B7</f>
        <v>-1009312</v>
      </c>
      <c r="C8" s="1" t="s">
        <v>89</v>
      </c>
      <c r="H8" s="551"/>
    </row>
    <row r="9" spans="1:19" ht="16.5" thickTop="1" x14ac:dyDescent="0.25">
      <c r="H9" s="551"/>
      <c r="I9" s="8"/>
      <c r="J9" s="8"/>
      <c r="K9" s="8"/>
      <c r="L9" s="8"/>
    </row>
    <row r="10" spans="1:19" x14ac:dyDescent="0.25">
      <c r="B10" s="93"/>
      <c r="H10" s="383"/>
      <c r="I10" s="11"/>
      <c r="K10" s="8"/>
      <c r="L10" s="8"/>
    </row>
    <row r="11" spans="1:19" x14ac:dyDescent="0.25">
      <c r="B11" s="93"/>
      <c r="C11" s="110" t="s">
        <v>111</v>
      </c>
      <c r="D11" s="110"/>
      <c r="I11" s="8"/>
      <c r="J11" s="121"/>
      <c r="K11" s="73"/>
      <c r="L11" s="125"/>
    </row>
    <row r="12" spans="1:19" x14ac:dyDescent="0.25">
      <c r="I12" s="8"/>
      <c r="J12" s="26"/>
      <c r="K12" s="73"/>
      <c r="L12" s="125"/>
    </row>
    <row r="13" spans="1:19" s="8" customFormat="1" x14ac:dyDescent="0.25">
      <c r="B13" s="90"/>
      <c r="C13" s="11"/>
      <c r="D13" s="11"/>
      <c r="E13" s="11"/>
      <c r="F13" s="11"/>
      <c r="J13" s="26"/>
      <c r="K13" s="73"/>
      <c r="L13" s="125"/>
      <c r="N13" s="92"/>
      <c r="O13" s="14"/>
      <c r="S13" s="14"/>
    </row>
    <row r="14" spans="1:19" s="81" customFormat="1" x14ac:dyDescent="0.25">
      <c r="B14" s="82"/>
      <c r="C14" s="40"/>
      <c r="D14" s="40"/>
      <c r="E14" s="40"/>
      <c r="F14" s="40"/>
      <c r="O14" s="41"/>
      <c r="P14" s="61"/>
    </row>
    <row r="15" spans="1:19" x14ac:dyDescent="0.25">
      <c r="B15" s="761" t="s">
        <v>56</v>
      </c>
      <c r="C15" s="762"/>
      <c r="D15" s="762"/>
      <c r="E15" s="762"/>
      <c r="F15" s="763"/>
      <c r="G15" s="773" t="s">
        <v>188</v>
      </c>
      <c r="H15" s="773"/>
      <c r="I15" s="773"/>
      <c r="J15" s="773"/>
      <c r="K15" s="773"/>
      <c r="L15" s="773"/>
      <c r="N15" s="761" t="s">
        <v>70</v>
      </c>
      <c r="O15" s="762"/>
      <c r="P15" s="763"/>
    </row>
    <row r="16" spans="1:19" s="2" customFormat="1" ht="73.5" customHeight="1" x14ac:dyDescent="0.25">
      <c r="B16" s="764" t="s">
        <v>7</v>
      </c>
      <c r="C16" s="764" t="s">
        <v>6</v>
      </c>
      <c r="D16" s="323" t="s">
        <v>8</v>
      </c>
      <c r="E16" s="764" t="s">
        <v>4</v>
      </c>
      <c r="F16" s="764" t="s">
        <v>5</v>
      </c>
      <c r="G16" s="774" t="s">
        <v>877</v>
      </c>
      <c r="H16" s="764" t="s">
        <v>739</v>
      </c>
      <c r="I16" s="765" t="s">
        <v>182</v>
      </c>
      <c r="J16" s="765" t="s">
        <v>179</v>
      </c>
      <c r="K16" s="765" t="s">
        <v>180</v>
      </c>
      <c r="L16" s="765" t="s">
        <v>181</v>
      </c>
      <c r="N16" s="86"/>
      <c r="O16" s="94" t="s">
        <v>719</v>
      </c>
      <c r="P16" s="29" t="s">
        <v>5</v>
      </c>
    </row>
    <row r="17" spans="1:17" s="2" customFormat="1" ht="16.5" customHeight="1" x14ac:dyDescent="0.25">
      <c r="B17" s="764"/>
      <c r="C17" s="765"/>
      <c r="D17" s="328">
        <f>+B5</f>
        <v>1.7500000000000002E-2</v>
      </c>
      <c r="E17" s="764"/>
      <c r="F17" s="764"/>
      <c r="G17" s="774"/>
      <c r="H17" s="764"/>
      <c r="I17" s="775"/>
      <c r="J17" s="775"/>
      <c r="K17" s="775"/>
      <c r="L17" s="775"/>
      <c r="N17" s="335" t="s">
        <v>718</v>
      </c>
      <c r="O17" s="28">
        <f>+H6</f>
        <v>316068</v>
      </c>
      <c r="P17" s="28"/>
    </row>
    <row r="18" spans="1:17" x14ac:dyDescent="0.25">
      <c r="B18" s="329"/>
      <c r="C18" s="65"/>
      <c r="D18" s="65"/>
      <c r="F18" s="30"/>
      <c r="G18" s="123"/>
      <c r="H18" s="123"/>
      <c r="I18" s="123"/>
      <c r="J18" s="123"/>
      <c r="K18" s="123"/>
      <c r="L18" s="123"/>
      <c r="N18" s="335" t="str">
        <f>'Ex. 1 Calcs - District'!N15</f>
        <v>Life (Yrs.):</v>
      </c>
      <c r="O18" s="85">
        <v>3</v>
      </c>
      <c r="P18" s="98">
        <f>'Ex. 1 Calcs - County'!$P$15</f>
        <v>2039044</v>
      </c>
    </row>
    <row r="19" spans="1:17" x14ac:dyDescent="0.25">
      <c r="A19">
        <v>1</v>
      </c>
      <c r="B19" s="102">
        <f>'Ex. 1 Calcs - County'!B16</f>
        <v>41091</v>
      </c>
      <c r="C19" s="103">
        <f>'Ex. 1 Calcs - County'!C16</f>
        <v>240000</v>
      </c>
      <c r="D19" s="104">
        <f>'Ex. 1 Calcs - County'!D16</f>
        <v>0</v>
      </c>
      <c r="E19" s="105">
        <f>'Ex. 1 Calcs - County'!E16</f>
        <v>240000</v>
      </c>
      <c r="F19" s="103">
        <f>'Ex. 1 Calcs - County'!F16</f>
        <v>1799044</v>
      </c>
      <c r="G19" s="766"/>
      <c r="H19" s="767"/>
      <c r="I19" s="767"/>
      <c r="J19" s="767"/>
      <c r="K19" s="767"/>
      <c r="L19" s="768"/>
      <c r="M19" s="8"/>
      <c r="N19" s="107" t="str">
        <f>'Ex. 1 Calcs - County'!N16</f>
        <v xml:space="preserve"> FYE 6/30/2013</v>
      </c>
      <c r="O19" s="104">
        <f>'Ex. 1 Calcs - County'!O16</f>
        <v>101952</v>
      </c>
      <c r="P19" s="104">
        <f>'Ex. 1 Calcs - County'!P16</f>
        <v>1937092</v>
      </c>
    </row>
    <row r="20" spans="1:17" x14ac:dyDescent="0.25">
      <c r="A20">
        <v>2</v>
      </c>
      <c r="B20" s="102">
        <f>'Ex. 1 Calcs - County'!B17</f>
        <v>41456</v>
      </c>
      <c r="C20" s="103">
        <f>'Ex. 1 Calcs - County'!C17</f>
        <v>120000</v>
      </c>
      <c r="D20" s="103">
        <f>'Ex. 1 Calcs - County'!D17</f>
        <v>35981</v>
      </c>
      <c r="E20" s="103">
        <f>'Ex. 1 Calcs - County'!E17</f>
        <v>84019</v>
      </c>
      <c r="F20" s="103">
        <f>'Ex. 1 Calcs - County'!F17</f>
        <v>1715025</v>
      </c>
      <c r="G20" s="769"/>
      <c r="H20" s="770"/>
      <c r="I20" s="770"/>
      <c r="J20" s="770"/>
      <c r="K20" s="770"/>
      <c r="L20" s="771"/>
      <c r="M20" s="8"/>
      <c r="N20" s="108">
        <f>'Ex. 1 Calcs - County'!N17</f>
        <v>2014</v>
      </c>
      <c r="O20" s="103">
        <f>'Ex. 1 Calcs - County'!O17</f>
        <v>101952</v>
      </c>
      <c r="P20" s="103">
        <f>'Ex. 1 Calcs - County'!P17</f>
        <v>1835140</v>
      </c>
    </row>
    <row r="21" spans="1:17" x14ac:dyDescent="0.25">
      <c r="A21">
        <v>3</v>
      </c>
      <c r="B21" s="102">
        <f>'Ex. 1 Calcs - County'!B18</f>
        <v>41821</v>
      </c>
      <c r="C21" s="103">
        <f>'Ex. 1 Calcs - County'!C18</f>
        <v>120000</v>
      </c>
      <c r="D21" s="103">
        <f>'Ex. 1 Calcs - County'!D18</f>
        <v>34301</v>
      </c>
      <c r="E21" s="103">
        <f>'Ex. 1 Calcs - County'!E18</f>
        <v>85699</v>
      </c>
      <c r="F21" s="103">
        <f>'Ex. 1 Calcs - County'!F18</f>
        <v>1629326</v>
      </c>
      <c r="G21" s="769"/>
      <c r="H21" s="770"/>
      <c r="I21" s="770"/>
      <c r="J21" s="770"/>
      <c r="K21" s="770"/>
      <c r="L21" s="771"/>
      <c r="M21" s="8"/>
      <c r="N21" s="108">
        <f>'Ex. 1 Calcs - County'!N18</f>
        <v>2015</v>
      </c>
      <c r="O21" s="103">
        <f>'Ex. 1 Calcs - County'!O18</f>
        <v>101952</v>
      </c>
      <c r="P21" s="103">
        <f>'Ex. 1 Calcs - County'!P18</f>
        <v>1733188</v>
      </c>
    </row>
    <row r="22" spans="1:17" x14ac:dyDescent="0.25">
      <c r="A22">
        <v>4</v>
      </c>
      <c r="B22" s="102">
        <f>'Ex. 1 Calcs - County'!B19</f>
        <v>42186</v>
      </c>
      <c r="C22" s="103">
        <f>'Ex. 1 Calcs - County'!C19</f>
        <v>120000</v>
      </c>
      <c r="D22" s="103">
        <f>'Ex. 1 Calcs - County'!D19</f>
        <v>32587</v>
      </c>
      <c r="E22" s="103">
        <f>'Ex. 1 Calcs - County'!E19</f>
        <v>87413</v>
      </c>
      <c r="F22" s="103">
        <f>'Ex. 1 Calcs - County'!F19</f>
        <v>1541913</v>
      </c>
      <c r="G22" s="769"/>
      <c r="H22" s="770"/>
      <c r="I22" s="770"/>
      <c r="J22" s="770"/>
      <c r="K22" s="770"/>
      <c r="L22" s="771"/>
      <c r="M22" s="8"/>
      <c r="N22" s="108">
        <f>'Ex. 1 Calcs - County'!N19</f>
        <v>2016</v>
      </c>
      <c r="O22" s="103">
        <f>'Ex. 1 Calcs - County'!O19</f>
        <v>101952</v>
      </c>
      <c r="P22" s="103">
        <f>'Ex. 1 Calcs - County'!P19</f>
        <v>1631236</v>
      </c>
    </row>
    <row r="23" spans="1:17" x14ac:dyDescent="0.25">
      <c r="A23">
        <v>5</v>
      </c>
      <c r="B23" s="102">
        <f>'Ex. 1 Calcs - County'!B20</f>
        <v>42552</v>
      </c>
      <c r="C23" s="103">
        <f>'Ex. 1 Calcs - County'!C20</f>
        <v>120000</v>
      </c>
      <c r="D23" s="103">
        <f>'Ex. 1 Calcs - County'!D20</f>
        <v>30838</v>
      </c>
      <c r="E23" s="103">
        <f>'Ex. 1 Calcs - County'!E20</f>
        <v>89162</v>
      </c>
      <c r="F23" s="103">
        <f>'Ex. 1 Calcs - County'!F20</f>
        <v>1452751</v>
      </c>
      <c r="G23" s="769"/>
      <c r="H23" s="770"/>
      <c r="I23" s="770"/>
      <c r="J23" s="770"/>
      <c r="K23" s="770"/>
      <c r="L23" s="771"/>
      <c r="M23" s="8"/>
      <c r="N23" s="108">
        <f>'Ex. 1 Calcs - County'!N20</f>
        <v>2017</v>
      </c>
      <c r="O23" s="103">
        <f>'Ex. 1 Calcs - County'!O20</f>
        <v>101952</v>
      </c>
      <c r="P23" s="103">
        <f>'Ex. 1 Calcs - County'!P20</f>
        <v>1529284</v>
      </c>
    </row>
    <row r="24" spans="1:17" ht="15.75" thickBot="1" x14ac:dyDescent="0.3">
      <c r="A24">
        <v>6</v>
      </c>
      <c r="B24" s="102">
        <f>'Ex. 1 Calcs - County'!B21</f>
        <v>42917</v>
      </c>
      <c r="C24" s="103">
        <f>'Ex. 1 Calcs - County'!C21</f>
        <v>120000</v>
      </c>
      <c r="D24" s="103">
        <f>'Ex. 1 Calcs - County'!D21</f>
        <v>29055</v>
      </c>
      <c r="E24" s="103">
        <f>'Ex. 1 Calcs - County'!E21</f>
        <v>90945</v>
      </c>
      <c r="F24" s="103">
        <f>'Ex. 1 Calcs - County'!F21</f>
        <v>1361806</v>
      </c>
      <c r="G24" s="769"/>
      <c r="H24" s="770"/>
      <c r="I24" s="770"/>
      <c r="J24" s="770"/>
      <c r="K24" s="770"/>
      <c r="L24" s="771"/>
      <c r="M24" s="8"/>
      <c r="N24" s="108">
        <f>'Ex. 1 Calcs - County'!N21</f>
        <v>2018</v>
      </c>
      <c r="O24" s="103">
        <f>'Ex. 1 Calcs - County'!O21</f>
        <v>101952</v>
      </c>
      <c r="P24" s="103">
        <f>'Ex. 1 Calcs - County'!P21</f>
        <v>1427332</v>
      </c>
    </row>
    <row r="25" spans="1:17" ht="15.75" thickBot="1" x14ac:dyDescent="0.3">
      <c r="A25">
        <v>7</v>
      </c>
      <c r="B25" s="102">
        <f>'Ex. 1 Calcs - County'!B22</f>
        <v>43282</v>
      </c>
      <c r="C25" s="103">
        <f>'Ex. 1 Calcs - County'!C22</f>
        <v>120000</v>
      </c>
      <c r="D25" s="103">
        <f>'Ex. 1 Calcs - County'!D22</f>
        <v>27236</v>
      </c>
      <c r="E25" s="103">
        <f>'Ex. 1 Calcs - County'!E22</f>
        <v>92764</v>
      </c>
      <c r="F25" s="103">
        <f>'Ex. 1 Calcs - County'!F22</f>
        <v>1269042</v>
      </c>
      <c r="G25" s="769"/>
      <c r="H25" s="770"/>
      <c r="I25" s="770"/>
      <c r="J25" s="770"/>
      <c r="K25" s="770"/>
      <c r="L25" s="771"/>
      <c r="M25" s="8"/>
      <c r="N25" s="108">
        <f>'Ex. 1 Calcs - County'!N22</f>
        <v>2019</v>
      </c>
      <c r="O25" s="103">
        <f>'Ex. 1 Calcs - County'!O22</f>
        <v>101952</v>
      </c>
      <c r="P25" s="130">
        <f>'Ex. 1 Calcs - County'!P22</f>
        <v>1325380</v>
      </c>
      <c r="Q25" s="91" t="s">
        <v>112</v>
      </c>
    </row>
    <row r="26" spans="1:17" ht="15.75" thickBot="1" x14ac:dyDescent="0.3">
      <c r="A26">
        <v>8</v>
      </c>
      <c r="B26" s="102">
        <f>'Ex. 1 Calcs - County'!B23</f>
        <v>43647</v>
      </c>
      <c r="C26" s="103">
        <f>'Ex. 1 Calcs - County'!C23</f>
        <v>120000</v>
      </c>
      <c r="D26" s="103">
        <f>'Ex. 1 Calcs - County'!D23</f>
        <v>25381</v>
      </c>
      <c r="E26" s="109">
        <f>'Ex. 1 Calcs - County'!E23</f>
        <v>94619</v>
      </c>
      <c r="F26" s="127">
        <f>'Ex. 1 Calcs - County'!F23</f>
        <v>1174423</v>
      </c>
      <c r="G26" s="330"/>
      <c r="H26" s="106">
        <f>+C27</f>
        <v>168000</v>
      </c>
      <c r="I26" s="106">
        <f>+H26-C26</f>
        <v>48000</v>
      </c>
      <c r="J26" s="106">
        <f>+'Example 2 Assumptions Summary '!F16</f>
        <v>24000</v>
      </c>
      <c r="K26" s="243">
        <f>+H26+J26</f>
        <v>192000</v>
      </c>
      <c r="L26" s="243">
        <f>+I26+J26</f>
        <v>72000</v>
      </c>
      <c r="M26" s="91"/>
      <c r="N26" s="74" t="s">
        <v>638</v>
      </c>
      <c r="O26" s="74"/>
      <c r="P26" s="131">
        <f>+H6</f>
        <v>316068</v>
      </c>
      <c r="Q26" s="91" t="s">
        <v>106</v>
      </c>
    </row>
    <row r="27" spans="1:17" ht="15.75" thickBot="1" x14ac:dyDescent="0.3">
      <c r="B27" s="31" t="s">
        <v>637</v>
      </c>
      <c r="C27" s="32">
        <f>+B4</f>
        <v>168000</v>
      </c>
      <c r="D27" s="32"/>
      <c r="E27" s="62"/>
      <c r="F27" s="128">
        <f>+B6</f>
        <v>165111</v>
      </c>
      <c r="G27" s="124"/>
      <c r="H27" s="32"/>
      <c r="I27" s="32"/>
      <c r="J27" s="32"/>
      <c r="K27" s="36"/>
      <c r="L27" s="36"/>
      <c r="M27" s="91"/>
      <c r="N27" s="35">
        <v>2020</v>
      </c>
      <c r="O27" s="32">
        <f>+O17/O18</f>
        <v>105356</v>
      </c>
      <c r="P27" s="32">
        <f>+P26-O27</f>
        <v>210712</v>
      </c>
    </row>
    <row r="28" spans="1:17" x14ac:dyDescent="0.25">
      <c r="A28">
        <v>9</v>
      </c>
      <c r="B28" s="31">
        <v>44013</v>
      </c>
      <c r="C28" s="32">
        <f>+C27</f>
        <v>168000</v>
      </c>
      <c r="D28" s="32">
        <f>+F27*$D$17</f>
        <v>2889.4425000000001</v>
      </c>
      <c r="E28" s="32">
        <f t="shared" ref="E28" si="0">ROUND(+C28-D28,0)</f>
        <v>165111</v>
      </c>
      <c r="F28" s="32">
        <f>+F27-E28</f>
        <v>0</v>
      </c>
      <c r="G28" s="331">
        <f>+'Example 2 Assumptions Summary '!E11</f>
        <v>-0.15</v>
      </c>
      <c r="H28" s="32">
        <f>+'Example 2 Assumptions Summary '!F11</f>
        <v>142800</v>
      </c>
      <c r="I28" s="634">
        <f t="shared" ref="I28:I29" si="1">+H28-C28</f>
        <v>-25200</v>
      </c>
      <c r="J28" s="32">
        <f>+'Example 2 Assumptions Summary '!F17</f>
        <v>24500</v>
      </c>
      <c r="K28" s="36">
        <f t="shared" ref="K28:K29" si="2">+H28+J28</f>
        <v>167300</v>
      </c>
      <c r="L28" s="635">
        <f t="shared" ref="L28:L29" si="3">+I28+J28</f>
        <v>-700</v>
      </c>
      <c r="M28" s="8"/>
      <c r="N28" s="35">
        <v>2021</v>
      </c>
      <c r="O28" s="32">
        <f>+O17/O18</f>
        <v>105356</v>
      </c>
      <c r="P28" s="32">
        <f>+P27-O28</f>
        <v>105356</v>
      </c>
    </row>
    <row r="29" spans="1:17" x14ac:dyDescent="0.25">
      <c r="A29">
        <v>10</v>
      </c>
      <c r="B29" s="33">
        <v>44378</v>
      </c>
      <c r="C29" s="34">
        <v>0</v>
      </c>
      <c r="D29" s="34">
        <f>+F28*$D$17</f>
        <v>0</v>
      </c>
      <c r="E29" s="34">
        <f>ROUND(+C29-D29,0)</f>
        <v>0</v>
      </c>
      <c r="F29" s="34">
        <f t="shared" ref="F29" si="4">+F28-E29</f>
        <v>0</v>
      </c>
      <c r="G29" s="333">
        <f>+'Example 2 Assumptions Summary '!E13</f>
        <v>0.05</v>
      </c>
      <c r="H29" s="34">
        <f>+'Example 2 Assumptions Summary '!F13</f>
        <v>29940</v>
      </c>
      <c r="I29" s="34">
        <f t="shared" si="1"/>
        <v>29940</v>
      </c>
      <c r="J29" s="34">
        <f>+'Example 2 Assumptions Summary '!F18</f>
        <v>25000</v>
      </c>
      <c r="K29" s="38">
        <f t="shared" si="2"/>
        <v>54940</v>
      </c>
      <c r="L29" s="38">
        <f t="shared" si="3"/>
        <v>54940</v>
      </c>
      <c r="M29" s="91"/>
      <c r="N29" s="37">
        <v>2022</v>
      </c>
      <c r="O29" s="34">
        <f>+O17/O18</f>
        <v>105356</v>
      </c>
      <c r="P29" s="34">
        <f>+P28-O29</f>
        <v>0</v>
      </c>
    </row>
    <row r="30" spans="1:17" x14ac:dyDescent="0.25">
      <c r="A30">
        <v>26</v>
      </c>
      <c r="B30" s="9"/>
      <c r="C30" s="11"/>
      <c r="D30" s="11"/>
      <c r="E30" s="132"/>
      <c r="G30" s="8"/>
      <c r="H30" s="8"/>
      <c r="I30" s="8"/>
      <c r="J30" s="8"/>
      <c r="K30" s="8"/>
      <c r="L30" s="8"/>
      <c r="M30" s="8"/>
      <c r="N30" s="72"/>
      <c r="O30" s="11"/>
      <c r="P30" s="11"/>
    </row>
    <row r="31" spans="1:17" x14ac:dyDescent="0.25">
      <c r="A31">
        <v>27</v>
      </c>
      <c r="B31" s="9"/>
      <c r="C31" s="11"/>
      <c r="D31" s="11"/>
      <c r="E31" s="11"/>
      <c r="F31" s="11"/>
      <c r="G31" s="8"/>
      <c r="H31" s="8"/>
      <c r="I31" s="8"/>
      <c r="J31" s="8"/>
      <c r="K31" s="8"/>
      <c r="L31" s="8"/>
      <c r="M31" s="8"/>
      <c r="N31" s="72"/>
      <c r="O31" s="11"/>
      <c r="P31" s="11"/>
    </row>
    <row r="32" spans="1:17" x14ac:dyDescent="0.25">
      <c r="A32">
        <v>28</v>
      </c>
      <c r="B32" s="9"/>
      <c r="C32" s="11"/>
      <c r="D32" s="11"/>
      <c r="E32" s="11"/>
      <c r="F32" s="11"/>
      <c r="G32" s="8"/>
      <c r="H32" s="8"/>
      <c r="I32" s="8"/>
      <c r="J32" s="8"/>
      <c r="K32" s="8"/>
      <c r="L32" s="8"/>
      <c r="M32" s="8"/>
      <c r="N32" s="72"/>
      <c r="O32" s="11"/>
      <c r="P32" s="11"/>
    </row>
    <row r="33" spans="1:16" x14ac:dyDescent="0.25">
      <c r="A33">
        <v>29</v>
      </c>
      <c r="B33" s="9"/>
      <c r="C33" s="11"/>
      <c r="D33" s="11"/>
      <c r="E33" s="11"/>
      <c r="F33" s="11"/>
      <c r="G33" s="8"/>
      <c r="H33" s="8"/>
      <c r="I33" s="8"/>
      <c r="J33" s="8"/>
      <c r="K33" s="8"/>
      <c r="L33" s="8"/>
      <c r="M33" s="8"/>
      <c r="N33" s="72"/>
      <c r="O33" s="11"/>
      <c r="P33" s="11"/>
    </row>
    <row r="34" spans="1:16" x14ac:dyDescent="0.25">
      <c r="A34">
        <v>30</v>
      </c>
      <c r="B34" s="9"/>
      <c r="C34" s="11"/>
      <c r="D34" s="11"/>
      <c r="E34" s="11"/>
      <c r="F34" s="11"/>
      <c r="G34" s="8"/>
      <c r="H34" s="8"/>
      <c r="I34" s="8"/>
      <c r="J34" s="8"/>
      <c r="K34" s="8"/>
      <c r="L34" s="8"/>
      <c r="M34" s="8"/>
      <c r="N34" s="72"/>
      <c r="O34" s="11"/>
      <c r="P34" s="11"/>
    </row>
    <row r="35" spans="1:16" x14ac:dyDescent="0.25">
      <c r="B35" s="9"/>
      <c r="C35" s="11"/>
      <c r="D35" s="11"/>
      <c r="E35" s="11"/>
      <c r="F35" s="11"/>
      <c r="G35" s="8"/>
      <c r="H35" s="8"/>
      <c r="I35" s="8"/>
      <c r="J35" s="8"/>
      <c r="K35" s="8"/>
      <c r="L35" s="8"/>
      <c r="M35" s="8"/>
      <c r="N35" s="72"/>
      <c r="O35" s="11"/>
      <c r="P35" s="11"/>
    </row>
    <row r="36" spans="1:16" x14ac:dyDescent="0.25">
      <c r="B36" s="9"/>
      <c r="C36" s="11"/>
      <c r="D36" s="11"/>
      <c r="E36" s="11"/>
      <c r="F36" s="11"/>
      <c r="G36" s="8"/>
      <c r="H36" s="8"/>
      <c r="I36" s="8"/>
      <c r="J36" s="8"/>
      <c r="K36" s="8"/>
      <c r="L36" s="8"/>
      <c r="M36" s="8"/>
      <c r="N36" s="72"/>
      <c r="O36" s="11"/>
      <c r="P36" s="11"/>
    </row>
    <row r="37" spans="1:16" x14ac:dyDescent="0.25">
      <c r="B37" s="9"/>
      <c r="C37" s="11"/>
      <c r="D37" s="11"/>
      <c r="E37" s="11"/>
      <c r="F37" s="11"/>
      <c r="G37" s="8"/>
      <c r="H37" s="8"/>
      <c r="I37" s="8"/>
      <c r="J37" s="8"/>
      <c r="K37" s="8"/>
      <c r="L37" s="8"/>
      <c r="M37" s="8"/>
      <c r="N37" s="72"/>
      <c r="O37" s="11"/>
      <c r="P37" s="11"/>
    </row>
    <row r="38" spans="1:16" x14ac:dyDescent="0.25">
      <c r="B38" s="9"/>
      <c r="C38" s="11"/>
      <c r="D38" s="11"/>
      <c r="E38" s="11"/>
      <c r="F38" s="11"/>
      <c r="G38" s="8"/>
      <c r="H38" s="8"/>
      <c r="I38" s="8"/>
      <c r="J38" s="8"/>
      <c r="K38" s="8"/>
      <c r="L38" s="8"/>
      <c r="M38" s="8"/>
      <c r="N38" s="72"/>
      <c r="O38" s="10"/>
      <c r="P38" s="11"/>
    </row>
    <row r="39" spans="1:16" x14ac:dyDescent="0.25">
      <c r="B39" s="9"/>
      <c r="C39" s="11"/>
      <c r="D39" s="11"/>
      <c r="E39" s="11"/>
      <c r="F39" s="11"/>
      <c r="G39" s="8"/>
      <c r="H39" s="8"/>
      <c r="I39" s="8"/>
      <c r="J39" s="8"/>
      <c r="K39" s="8"/>
      <c r="L39" s="8"/>
      <c r="M39" s="8"/>
      <c r="N39" s="72"/>
      <c r="O39" s="10"/>
      <c r="P39" s="10"/>
    </row>
    <row r="40" spans="1:16" x14ac:dyDescent="0.25">
      <c r="B40" s="9"/>
      <c r="C40" s="11"/>
      <c r="D40" s="11"/>
      <c r="E40" s="11"/>
      <c r="F40" s="11"/>
      <c r="G40" s="8"/>
      <c r="H40" s="8"/>
      <c r="I40" s="8"/>
      <c r="J40" s="8"/>
      <c r="K40" s="8"/>
      <c r="L40" s="8"/>
      <c r="M40" s="8"/>
      <c r="N40" s="72"/>
      <c r="O40" s="10"/>
      <c r="P40" s="10"/>
    </row>
    <row r="41" spans="1:16" x14ac:dyDescent="0.25">
      <c r="B41" s="9"/>
      <c r="C41" s="11"/>
      <c r="D41" s="11"/>
      <c r="E41" s="11"/>
      <c r="F41" s="11"/>
      <c r="G41" s="8"/>
      <c r="H41" s="8"/>
      <c r="I41" s="8"/>
      <c r="J41" s="8"/>
      <c r="K41" s="8"/>
      <c r="L41" s="8"/>
      <c r="M41" s="8"/>
      <c r="N41" s="8"/>
      <c r="O41" s="10"/>
      <c r="P41" s="10"/>
    </row>
    <row r="42" spans="1:16" x14ac:dyDescent="0.25">
      <c r="B42" s="9"/>
      <c r="C42" s="11"/>
      <c r="D42" s="11"/>
      <c r="E42" s="11"/>
      <c r="F42" s="11"/>
      <c r="G42" s="8"/>
      <c r="H42" s="8"/>
      <c r="I42" s="8"/>
      <c r="J42" s="8"/>
      <c r="K42" s="8"/>
      <c r="L42" s="8"/>
      <c r="M42" s="8"/>
      <c r="N42" s="8"/>
      <c r="O42" s="8"/>
      <c r="P42" s="11"/>
    </row>
    <row r="43" spans="1:16" x14ac:dyDescent="0.25">
      <c r="B43" s="9"/>
      <c r="C43" s="11"/>
      <c r="D43" s="11"/>
      <c r="E43" s="11"/>
      <c r="F43" s="11"/>
      <c r="G43" s="8"/>
      <c r="H43" s="8"/>
      <c r="I43" s="8"/>
      <c r="J43" s="8"/>
      <c r="K43" s="8"/>
      <c r="L43" s="8"/>
      <c r="M43" s="8"/>
      <c r="N43" s="8"/>
      <c r="O43" s="8"/>
      <c r="P43" s="11"/>
    </row>
    <row r="44" spans="1:16" x14ac:dyDescent="0.25">
      <c r="B44" s="9"/>
      <c r="C44" s="11"/>
      <c r="D44" s="11"/>
      <c r="E44" s="11"/>
      <c r="F44" s="11"/>
      <c r="G44" s="8"/>
      <c r="H44" s="8"/>
      <c r="I44" s="8"/>
      <c r="J44" s="8"/>
      <c r="K44" s="8"/>
      <c r="L44" s="8"/>
      <c r="M44" s="8"/>
      <c r="N44" s="8"/>
      <c r="O44" s="8"/>
      <c r="P44" s="11"/>
    </row>
    <row r="45" spans="1:16" x14ac:dyDescent="0.25">
      <c r="B45" s="9"/>
      <c r="C45" s="11"/>
      <c r="D45" s="11"/>
      <c r="E45" s="11"/>
      <c r="F45" s="11"/>
      <c r="G45" s="8"/>
      <c r="H45" s="8"/>
      <c r="I45" s="8"/>
      <c r="J45" s="8"/>
      <c r="K45" s="8"/>
      <c r="L45" s="8"/>
      <c r="M45" s="8"/>
      <c r="N45" s="8"/>
      <c r="O45" s="8"/>
      <c r="P45" s="11"/>
    </row>
    <row r="46" spans="1:16" x14ac:dyDescent="0.25">
      <c r="B46" s="9"/>
      <c r="C46" s="11"/>
      <c r="D46" s="11"/>
      <c r="E46" s="11"/>
      <c r="F46" s="11"/>
      <c r="G46" s="8"/>
      <c r="H46" s="8"/>
      <c r="I46" s="8"/>
      <c r="J46" s="8"/>
      <c r="K46" s="8"/>
      <c r="L46" s="8"/>
      <c r="M46" s="8"/>
      <c r="N46" s="8"/>
      <c r="O46" s="8"/>
      <c r="P46" s="11"/>
    </row>
    <row r="47" spans="1:16" x14ac:dyDescent="0.25">
      <c r="B47" s="9"/>
      <c r="C47" s="11"/>
      <c r="D47" s="11"/>
      <c r="E47" s="11"/>
      <c r="F47" s="11"/>
      <c r="G47" s="8"/>
      <c r="H47" s="8"/>
      <c r="I47" s="8"/>
      <c r="J47" s="8"/>
      <c r="K47" s="8"/>
      <c r="L47" s="8"/>
      <c r="M47" s="8"/>
      <c r="N47" s="8"/>
      <c r="O47" s="8"/>
      <c r="P47" s="11"/>
    </row>
    <row r="48" spans="1:16" x14ac:dyDescent="0.25">
      <c r="B48" s="9"/>
      <c r="C48" s="11"/>
      <c r="D48" s="11"/>
      <c r="E48" s="11"/>
      <c r="F48" s="11"/>
      <c r="G48" s="8"/>
      <c r="H48" s="8"/>
      <c r="I48" s="8"/>
      <c r="J48" s="8"/>
      <c r="K48" s="8"/>
      <c r="L48" s="8"/>
      <c r="M48" s="8"/>
      <c r="N48" s="8"/>
      <c r="O48" s="8"/>
      <c r="P48" s="11"/>
    </row>
    <row r="49" spans="3:16" x14ac:dyDescent="0.25">
      <c r="C49" s="11"/>
      <c r="D49" s="11"/>
      <c r="E49" s="11"/>
      <c r="F49" s="11"/>
      <c r="G49" s="8"/>
      <c r="H49" s="8"/>
      <c r="I49" s="8"/>
      <c r="J49" s="8"/>
      <c r="K49" s="8"/>
      <c r="L49" s="8"/>
      <c r="M49" s="8"/>
      <c r="P49" s="11"/>
    </row>
    <row r="50" spans="3:16" x14ac:dyDescent="0.25">
      <c r="C50" s="11"/>
      <c r="D50" s="11"/>
      <c r="E50" s="11"/>
      <c r="F50" s="11"/>
      <c r="G50" s="8"/>
      <c r="H50" s="8"/>
      <c r="I50" s="8"/>
      <c r="J50" s="8"/>
      <c r="K50" s="8"/>
      <c r="L50" s="8"/>
      <c r="M50" s="8"/>
      <c r="P50" s="11"/>
    </row>
    <row r="51" spans="3:16" x14ac:dyDescent="0.25">
      <c r="C51" s="11"/>
      <c r="D51" s="11"/>
      <c r="E51" s="11"/>
      <c r="F51" s="11"/>
      <c r="G51" s="8"/>
      <c r="H51" s="8"/>
      <c r="I51" s="8"/>
      <c r="J51" s="8"/>
      <c r="K51" s="8"/>
      <c r="L51" s="8"/>
      <c r="M51" s="8"/>
      <c r="P51" s="11"/>
    </row>
    <row r="52" spans="3:16" x14ac:dyDescent="0.25">
      <c r="C52" s="11"/>
      <c r="D52" s="11"/>
      <c r="E52" s="11"/>
      <c r="F52" s="11"/>
      <c r="G52" s="8"/>
      <c r="H52" s="8"/>
      <c r="I52" s="8"/>
      <c r="J52" s="8"/>
      <c r="K52" s="8"/>
      <c r="L52" s="8"/>
      <c r="M52" s="8"/>
      <c r="P52" s="11"/>
    </row>
    <row r="53" spans="3:16" x14ac:dyDescent="0.25">
      <c r="C53" s="11"/>
      <c r="D53" s="11"/>
      <c r="E53" s="11"/>
      <c r="F53" s="11"/>
      <c r="G53" s="8"/>
      <c r="H53" s="8"/>
      <c r="I53" s="8"/>
      <c r="J53" s="8"/>
      <c r="K53" s="8"/>
      <c r="L53" s="8"/>
      <c r="M53" s="8"/>
      <c r="P53" s="11"/>
    </row>
    <row r="54" spans="3:16" x14ac:dyDescent="0.25">
      <c r="C54" s="11"/>
      <c r="D54" s="11"/>
      <c r="E54" s="11"/>
      <c r="F54" s="11"/>
      <c r="G54" s="8"/>
      <c r="H54" s="8"/>
      <c r="I54" s="8"/>
      <c r="J54" s="8"/>
      <c r="K54" s="8"/>
      <c r="L54" s="8"/>
      <c r="M54" s="8"/>
      <c r="P54" s="11"/>
    </row>
    <row r="55" spans="3:16" x14ac:dyDescent="0.25">
      <c r="C55" s="11"/>
      <c r="D55" s="11"/>
      <c r="E55" s="11"/>
      <c r="F55" s="11"/>
      <c r="G55" s="8"/>
      <c r="H55" s="8"/>
      <c r="I55" s="8"/>
      <c r="J55" s="8"/>
      <c r="K55" s="8"/>
      <c r="L55" s="8"/>
      <c r="M55" s="8"/>
      <c r="P55" s="11"/>
    </row>
    <row r="56" spans="3:16" x14ac:dyDescent="0.25">
      <c r="C56" s="11"/>
      <c r="D56" s="11"/>
      <c r="E56" s="11"/>
      <c r="F56" s="11"/>
      <c r="G56" s="8"/>
      <c r="H56" s="8"/>
      <c r="I56" s="8"/>
      <c r="J56" s="8"/>
      <c r="K56" s="8"/>
      <c r="L56" s="8"/>
      <c r="M56" s="8"/>
      <c r="P56" s="11"/>
    </row>
    <row r="57" spans="3:16" x14ac:dyDescent="0.25">
      <c r="C57" s="11"/>
      <c r="D57" s="11"/>
      <c r="E57" s="11"/>
      <c r="F57" s="11"/>
      <c r="G57" s="8"/>
      <c r="H57" s="8"/>
      <c r="I57" s="8"/>
      <c r="J57" s="8"/>
      <c r="K57" s="8"/>
      <c r="L57" s="8"/>
      <c r="M57" s="8"/>
      <c r="P57" s="11"/>
    </row>
    <row r="58" spans="3:16" x14ac:dyDescent="0.25">
      <c r="C58" s="11"/>
      <c r="D58" s="11"/>
      <c r="E58" s="11"/>
      <c r="F58" s="11"/>
      <c r="G58" s="8"/>
      <c r="H58" s="8"/>
      <c r="I58" s="8"/>
      <c r="J58" s="8"/>
      <c r="K58" s="8"/>
      <c r="L58" s="8"/>
      <c r="M58" s="8"/>
      <c r="P58" s="11"/>
    </row>
    <row r="59" spans="3:16" x14ac:dyDescent="0.25">
      <c r="C59" s="11"/>
      <c r="D59" s="11"/>
      <c r="E59" s="11"/>
      <c r="F59" s="11"/>
      <c r="G59" s="8"/>
      <c r="H59" s="8"/>
      <c r="I59" s="8"/>
      <c r="J59" s="8"/>
      <c r="K59" s="8"/>
      <c r="L59" s="8"/>
      <c r="M59" s="8"/>
      <c r="P59" s="11"/>
    </row>
    <row r="60" spans="3:16" x14ac:dyDescent="0.25">
      <c r="C60" s="11"/>
      <c r="D60" s="11"/>
      <c r="E60" s="11"/>
      <c r="F60" s="11"/>
      <c r="G60" s="8"/>
      <c r="H60" s="8"/>
      <c r="I60" s="8"/>
      <c r="J60" s="8"/>
      <c r="K60" s="8"/>
      <c r="L60" s="8"/>
      <c r="M60" s="8"/>
      <c r="P60" s="11"/>
    </row>
    <row r="61" spans="3:16" x14ac:dyDescent="0.25">
      <c r="C61" s="11"/>
      <c r="D61" s="11"/>
      <c r="E61" s="11"/>
      <c r="F61" s="11"/>
      <c r="G61" s="8"/>
      <c r="H61" s="8"/>
      <c r="I61" s="8"/>
      <c r="J61" s="8"/>
      <c r="K61" s="8"/>
      <c r="L61" s="8"/>
      <c r="M61" s="8"/>
      <c r="P61" s="11"/>
    </row>
    <row r="62" spans="3:16" x14ac:dyDescent="0.25">
      <c r="C62" s="11"/>
      <c r="D62" s="11"/>
      <c r="E62" s="11"/>
      <c r="F62" s="11"/>
      <c r="G62" s="8"/>
      <c r="H62" s="8"/>
      <c r="I62" s="8"/>
      <c r="J62" s="8"/>
      <c r="K62" s="8"/>
      <c r="L62" s="8"/>
      <c r="M62" s="8"/>
      <c r="P62" s="11"/>
    </row>
    <row r="63" spans="3:16" x14ac:dyDescent="0.25">
      <c r="C63" s="11"/>
      <c r="D63" s="11"/>
      <c r="E63" s="11"/>
      <c r="F63" s="11"/>
      <c r="G63" s="8"/>
      <c r="H63" s="8"/>
      <c r="I63" s="8"/>
      <c r="J63" s="8"/>
      <c r="K63" s="8"/>
      <c r="L63" s="8"/>
      <c r="M63" s="8"/>
      <c r="P63" s="11"/>
    </row>
    <row r="64" spans="3:16" x14ac:dyDescent="0.25">
      <c r="C64" s="11"/>
      <c r="D64" s="11"/>
      <c r="E64" s="11"/>
      <c r="F64" s="11"/>
      <c r="G64" s="8"/>
      <c r="H64" s="8"/>
      <c r="I64" s="8"/>
      <c r="J64" s="8"/>
      <c r="K64" s="8"/>
      <c r="L64" s="8"/>
      <c r="M64" s="8"/>
      <c r="P64" s="11"/>
    </row>
    <row r="65" spans="3:16" x14ac:dyDescent="0.25">
      <c r="C65" s="11"/>
      <c r="D65" s="11"/>
      <c r="E65" s="11"/>
      <c r="F65" s="11"/>
      <c r="G65" s="8"/>
      <c r="H65" s="8"/>
      <c r="I65" s="8"/>
      <c r="J65" s="8"/>
      <c r="K65" s="8"/>
      <c r="L65" s="8"/>
      <c r="M65" s="8"/>
      <c r="P65" s="11"/>
    </row>
    <row r="66" spans="3:16" x14ac:dyDescent="0.25">
      <c r="C66" s="11"/>
      <c r="D66" s="11"/>
      <c r="E66" s="11"/>
      <c r="F66" s="11"/>
      <c r="G66" s="8"/>
      <c r="H66" s="8"/>
      <c r="I66" s="8"/>
      <c r="J66" s="8"/>
      <c r="K66" s="8"/>
      <c r="L66" s="8"/>
      <c r="M66" s="8"/>
      <c r="P66" s="11"/>
    </row>
    <row r="67" spans="3:16" x14ac:dyDescent="0.25">
      <c r="C67" s="11"/>
      <c r="D67" s="11"/>
      <c r="E67" s="11"/>
      <c r="F67" s="11"/>
      <c r="G67" s="8"/>
      <c r="H67" s="8"/>
      <c r="I67" s="8"/>
      <c r="J67" s="8"/>
      <c r="K67" s="8"/>
      <c r="L67" s="8"/>
      <c r="M67" s="8"/>
      <c r="P67" s="11"/>
    </row>
    <row r="68" spans="3:16" x14ac:dyDescent="0.25">
      <c r="C68" s="11"/>
      <c r="D68" s="11"/>
      <c r="E68" s="11"/>
      <c r="F68" s="11"/>
      <c r="G68" s="8"/>
      <c r="H68" s="8"/>
      <c r="I68" s="8"/>
      <c r="J68" s="8"/>
      <c r="K68" s="8"/>
      <c r="L68" s="8"/>
      <c r="M68" s="8"/>
      <c r="P68" s="11"/>
    </row>
    <row r="69" spans="3:16" x14ac:dyDescent="0.25">
      <c r="C69" s="11"/>
      <c r="D69" s="11"/>
      <c r="E69" s="11"/>
      <c r="F69" s="11"/>
      <c r="G69" s="8"/>
      <c r="H69" s="8"/>
      <c r="I69" s="8"/>
      <c r="J69" s="8"/>
      <c r="K69" s="8"/>
      <c r="L69" s="8"/>
      <c r="M69" s="8"/>
      <c r="P69" s="11"/>
    </row>
    <row r="70" spans="3:16" x14ac:dyDescent="0.25">
      <c r="C70" s="11"/>
      <c r="D70" s="11"/>
      <c r="E70" s="11"/>
      <c r="F70" s="11"/>
      <c r="G70" s="8"/>
      <c r="H70" s="8"/>
      <c r="I70" s="8"/>
      <c r="J70" s="8"/>
      <c r="K70" s="8"/>
      <c r="L70" s="8"/>
      <c r="M70" s="8"/>
      <c r="P70" s="11"/>
    </row>
    <row r="71" spans="3:16" x14ac:dyDescent="0.25">
      <c r="C71" s="11"/>
      <c r="D71" s="11"/>
      <c r="E71" s="11"/>
      <c r="F71" s="11"/>
      <c r="G71" s="8"/>
      <c r="H71" s="8"/>
      <c r="I71" s="8"/>
      <c r="J71" s="8"/>
      <c r="K71" s="8"/>
      <c r="L71" s="8"/>
      <c r="M71" s="8"/>
      <c r="P71" s="11"/>
    </row>
    <row r="72" spans="3:16" x14ac:dyDescent="0.25">
      <c r="C72" s="11"/>
      <c r="D72" s="11"/>
      <c r="E72" s="11"/>
      <c r="F72" s="11"/>
      <c r="G72" s="8"/>
      <c r="H72" s="8"/>
      <c r="I72" s="8"/>
      <c r="J72" s="8"/>
      <c r="K72" s="8"/>
      <c r="L72" s="8"/>
      <c r="M72" s="8"/>
      <c r="P72" s="11"/>
    </row>
    <row r="73" spans="3:16" x14ac:dyDescent="0.25">
      <c r="C73" s="11"/>
      <c r="D73" s="11"/>
      <c r="E73" s="11"/>
      <c r="F73" s="11"/>
      <c r="G73" s="8"/>
      <c r="H73" s="8"/>
      <c r="I73" s="8"/>
      <c r="J73" s="8"/>
      <c r="K73" s="8"/>
      <c r="L73" s="8"/>
      <c r="M73" s="8"/>
      <c r="P73" s="11"/>
    </row>
    <row r="74" spans="3:16" x14ac:dyDescent="0.25">
      <c r="C74" s="11"/>
      <c r="D74" s="11"/>
      <c r="E74" s="11"/>
      <c r="F74" s="11"/>
      <c r="G74" s="8"/>
      <c r="H74" s="8"/>
      <c r="I74" s="8"/>
      <c r="J74" s="8"/>
      <c r="K74" s="8"/>
      <c r="L74" s="8"/>
      <c r="M74" s="8"/>
      <c r="P74" s="11"/>
    </row>
  </sheetData>
  <mergeCells count="16">
    <mergeCell ref="G19:L25"/>
    <mergeCell ref="H3:M3"/>
    <mergeCell ref="B3:F3"/>
    <mergeCell ref="G15:L15"/>
    <mergeCell ref="G16:G17"/>
    <mergeCell ref="H16:H17"/>
    <mergeCell ref="I16:I17"/>
    <mergeCell ref="J16:J17"/>
    <mergeCell ref="K16:K17"/>
    <mergeCell ref="L16:L17"/>
    <mergeCell ref="N15:P15"/>
    <mergeCell ref="B16:B17"/>
    <mergeCell ref="C16:C17"/>
    <mergeCell ref="E16:E17"/>
    <mergeCell ref="F16:F17"/>
    <mergeCell ref="B15:F15"/>
  </mergeCells>
  <pageMargins left="0.7" right="0.7" top="0.75" bottom="0.75" header="0.3" footer="0.3"/>
  <pageSetup paperSize="5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7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P1"/>
    </sheetView>
  </sheetViews>
  <sheetFormatPr defaultColWidth="9" defaultRowHeight="15.75" x14ac:dyDescent="0.25"/>
  <cols>
    <col min="1" max="1" width="12.140625" style="498" customWidth="1"/>
    <col min="2" max="2" width="6.28515625" style="498" customWidth="1"/>
    <col min="3" max="3" width="5.5703125" style="389" customWidth="1"/>
    <col min="4" max="4" width="41.5703125" style="389" customWidth="1"/>
    <col min="5" max="6" width="10.85546875" style="388" bestFit="1" customWidth="1"/>
    <col min="7" max="7" width="3.7109375" style="389" customWidth="1"/>
    <col min="8" max="8" width="5.5703125" style="389" customWidth="1"/>
    <col min="9" max="9" width="45" style="389" customWidth="1"/>
    <col min="10" max="11" width="11.5703125" style="388" bestFit="1" customWidth="1"/>
    <col min="12" max="12" width="4.7109375" style="389" customWidth="1"/>
    <col min="13" max="13" width="5.5703125" style="389" customWidth="1"/>
    <col min="14" max="14" width="42.42578125" style="389" customWidth="1"/>
    <col min="15" max="16" width="11.5703125" style="388" bestFit="1" customWidth="1"/>
    <col min="17" max="16384" width="9" style="389"/>
  </cols>
  <sheetData>
    <row r="1" spans="1:17" ht="14.65" customHeight="1" x14ac:dyDescent="0.25">
      <c r="A1" s="732" t="s">
        <v>158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</row>
    <row r="2" spans="1:17" x14ac:dyDescent="0.25">
      <c r="A2" s="498" t="s">
        <v>728</v>
      </c>
      <c r="H2" s="390"/>
    </row>
    <row r="3" spans="1:17" x14ac:dyDescent="0.25">
      <c r="A3" s="389"/>
      <c r="B3" s="389"/>
      <c r="C3" s="393"/>
      <c r="D3" s="393"/>
      <c r="E3" s="392"/>
      <c r="F3" s="392"/>
      <c r="G3" s="393"/>
      <c r="H3" s="393"/>
      <c r="I3" s="393"/>
      <c r="J3" s="392"/>
      <c r="K3" s="392"/>
      <c r="L3" s="393"/>
      <c r="M3" s="393"/>
      <c r="N3" s="393"/>
      <c r="O3" s="392"/>
      <c r="P3" s="392"/>
      <c r="Q3" s="393"/>
    </row>
    <row r="4" spans="1:17" ht="15.75" customHeight="1" x14ac:dyDescent="0.25">
      <c r="A4" s="391"/>
      <c r="B4" s="391"/>
      <c r="C4" s="737" t="s">
        <v>19</v>
      </c>
      <c r="D4" s="738"/>
      <c r="E4" s="738"/>
      <c r="F4" s="739"/>
      <c r="G4" s="393"/>
      <c r="H4" s="737" t="s">
        <v>818</v>
      </c>
      <c r="I4" s="738"/>
      <c r="J4" s="738"/>
      <c r="K4" s="739"/>
      <c r="L4" s="393"/>
      <c r="M4" s="737" t="s">
        <v>20</v>
      </c>
      <c r="N4" s="738"/>
      <c r="O4" s="738"/>
      <c r="P4" s="739"/>
      <c r="Q4" s="393"/>
    </row>
    <row r="5" spans="1:17" x14ac:dyDescent="0.25">
      <c r="A5" s="391"/>
      <c r="B5" s="391"/>
      <c r="C5" s="397"/>
      <c r="D5" s="397"/>
      <c r="E5" s="395" t="s">
        <v>0</v>
      </c>
      <c r="F5" s="395" t="s">
        <v>1</v>
      </c>
      <c r="G5" s="393"/>
      <c r="H5" s="397"/>
      <c r="I5" s="397"/>
      <c r="J5" s="395" t="s">
        <v>0</v>
      </c>
      <c r="K5" s="395" t="s">
        <v>1</v>
      </c>
      <c r="L5" s="393"/>
      <c r="M5" s="397"/>
      <c r="N5" s="397"/>
      <c r="O5" s="395" t="s">
        <v>0</v>
      </c>
      <c r="P5" s="395" t="s">
        <v>1</v>
      </c>
      <c r="Q5" s="393"/>
    </row>
    <row r="6" spans="1:17" ht="14.65" customHeight="1" x14ac:dyDescent="0.25">
      <c r="A6" s="398" t="s">
        <v>94</v>
      </c>
      <c r="B6" s="422"/>
      <c r="C6" s="396"/>
      <c r="D6" s="396"/>
      <c r="E6" s="499"/>
      <c r="F6" s="499"/>
      <c r="G6" s="393"/>
      <c r="H6" s="396"/>
      <c r="I6" s="396"/>
      <c r="J6" s="499"/>
      <c r="K6" s="499"/>
      <c r="L6" s="393"/>
      <c r="M6" s="396"/>
      <c r="N6" s="396"/>
      <c r="O6" s="499"/>
      <c r="P6" s="499"/>
      <c r="Q6" s="393"/>
    </row>
    <row r="7" spans="1:17" x14ac:dyDescent="0.25">
      <c r="A7" s="391"/>
      <c r="B7" s="391"/>
      <c r="C7" s="404"/>
      <c r="D7" s="404"/>
      <c r="E7" s="409"/>
      <c r="F7" s="409"/>
      <c r="G7" s="393"/>
      <c r="L7" s="393"/>
      <c r="Q7" s="393"/>
    </row>
    <row r="8" spans="1:17" ht="14.65" customHeight="1" x14ac:dyDescent="0.25">
      <c r="A8" s="400">
        <v>43647</v>
      </c>
      <c r="B8" s="400"/>
      <c r="C8" s="404" t="s">
        <v>80</v>
      </c>
      <c r="D8" s="405"/>
      <c r="E8" s="409">
        <f>ROUND(+'Ex. 2 Calcs - County'!E26,0)</f>
        <v>94619</v>
      </c>
      <c r="F8" s="409"/>
      <c r="G8" s="393"/>
      <c r="H8" s="389" t="s">
        <v>110</v>
      </c>
      <c r="J8" s="402">
        <f>+K11</f>
        <v>94619</v>
      </c>
      <c r="K8" s="389"/>
      <c r="L8" s="393"/>
      <c r="M8" s="404" t="str">
        <f>+H8</f>
        <v>Lease payable</v>
      </c>
      <c r="N8" s="404"/>
      <c r="O8" s="409">
        <f>+J8</f>
        <v>94619</v>
      </c>
      <c r="P8" s="409"/>
      <c r="Q8" s="393"/>
    </row>
    <row r="9" spans="1:17" ht="14.65" customHeight="1" x14ac:dyDescent="0.25">
      <c r="A9" s="391"/>
      <c r="B9" s="391"/>
      <c r="C9" s="404" t="s">
        <v>81</v>
      </c>
      <c r="D9" s="404"/>
      <c r="E9" s="409">
        <f>ROUND(+'Ex. 2 Calcs - County'!D26,0)</f>
        <v>25381</v>
      </c>
      <c r="F9" s="389"/>
      <c r="G9" s="393"/>
      <c r="H9" s="493" t="s">
        <v>28</v>
      </c>
      <c r="I9" s="404"/>
      <c r="J9" s="409">
        <f>+K10</f>
        <v>25381</v>
      </c>
      <c r="K9" s="409"/>
      <c r="L9" s="393"/>
      <c r="M9" s="404" t="str">
        <f>+H9</f>
        <v>Interest payable</v>
      </c>
      <c r="N9" s="404"/>
      <c r="O9" s="409">
        <f>+J9</f>
        <v>25381</v>
      </c>
      <c r="P9" s="409"/>
      <c r="Q9" s="393"/>
    </row>
    <row r="10" spans="1:17" ht="14.65" customHeight="1" x14ac:dyDescent="0.25">
      <c r="A10" s="391"/>
      <c r="B10" s="391"/>
      <c r="C10" s="493" t="s">
        <v>163</v>
      </c>
      <c r="D10" s="493"/>
      <c r="E10" s="409">
        <f>ROUND(+'Ex. 2 Calcs - County'!L26,0)</f>
        <v>72000</v>
      </c>
      <c r="F10" s="409"/>
      <c r="G10" s="393"/>
      <c r="H10" s="493"/>
      <c r="I10" s="493" t="str">
        <f>+C9</f>
        <v>Debt service expenditure - interest</v>
      </c>
      <c r="J10" s="409"/>
      <c r="K10" s="409">
        <f>+E9</f>
        <v>25381</v>
      </c>
      <c r="L10" s="393"/>
      <c r="M10" s="404" t="str">
        <f>+C10</f>
        <v>Prepaid rent</v>
      </c>
      <c r="O10" s="409">
        <f>+E10</f>
        <v>72000</v>
      </c>
      <c r="P10" s="389"/>
      <c r="Q10" s="393"/>
    </row>
    <row r="11" spans="1:17" ht="14.65" customHeight="1" x14ac:dyDescent="0.25">
      <c r="A11" s="391"/>
      <c r="B11" s="391"/>
      <c r="C11" s="484"/>
      <c r="D11" s="493" t="s">
        <v>2</v>
      </c>
      <c r="E11" s="409"/>
      <c r="F11" s="409">
        <f>ROUND(+'Ex. 2 Calcs - County'!K26,0)</f>
        <v>192000</v>
      </c>
      <c r="G11" s="393"/>
      <c r="I11" s="493" t="str">
        <f>+C8</f>
        <v>Debt service expenditure - principal</v>
      </c>
      <c r="J11" s="409"/>
      <c r="K11" s="409">
        <f>+E8</f>
        <v>94619</v>
      </c>
      <c r="L11" s="393"/>
      <c r="M11" s="397"/>
      <c r="N11" s="389" t="str">
        <f>+D11</f>
        <v>Cash</v>
      </c>
      <c r="O11" s="389"/>
      <c r="P11" s="402">
        <f>+F11</f>
        <v>192000</v>
      </c>
      <c r="Q11" s="393"/>
    </row>
    <row r="12" spans="1:17" ht="14.65" customHeight="1" x14ac:dyDescent="0.25">
      <c r="A12" s="391"/>
      <c r="B12" s="391"/>
      <c r="C12" s="405" t="s">
        <v>82</v>
      </c>
      <c r="D12" s="405"/>
      <c r="E12" s="409"/>
      <c r="F12" s="409"/>
      <c r="G12" s="393"/>
      <c r="H12" s="484"/>
      <c r="I12" s="493"/>
      <c r="J12" s="409"/>
      <c r="K12" s="409"/>
      <c r="L12" s="393"/>
      <c r="M12" s="405" t="str">
        <f>C12</f>
        <v>[To record rental payment to lessor based on actual</v>
      </c>
      <c r="N12" s="404"/>
      <c r="O12" s="409"/>
      <c r="P12" s="409"/>
      <c r="Q12" s="393"/>
    </row>
    <row r="13" spans="1:17" ht="14.25" customHeight="1" x14ac:dyDescent="0.25">
      <c r="A13" s="391"/>
      <c r="B13" s="391"/>
      <c r="C13" s="405" t="s">
        <v>191</v>
      </c>
      <c r="D13" s="404"/>
      <c r="E13" s="409"/>
      <c r="F13" s="409"/>
      <c r="G13" s="393"/>
      <c r="H13" s="404"/>
      <c r="I13" s="404"/>
      <c r="J13" s="409"/>
      <c r="K13" s="409"/>
      <c r="L13" s="393"/>
      <c r="M13" s="406" t="str">
        <f>C13</f>
        <v xml:space="preserve"> variable payment amounts]</v>
      </c>
      <c r="N13" s="404"/>
      <c r="O13" s="409"/>
      <c r="P13" s="409"/>
      <c r="Q13" s="393"/>
    </row>
    <row r="14" spans="1:17" ht="14.25" customHeight="1" x14ac:dyDescent="0.25">
      <c r="A14" s="391"/>
      <c r="B14" s="391"/>
      <c r="C14" s="405"/>
      <c r="D14" s="404"/>
      <c r="E14" s="409"/>
      <c r="F14" s="409"/>
      <c r="G14" s="393"/>
      <c r="H14" s="404"/>
      <c r="I14" s="404"/>
      <c r="J14" s="409"/>
      <c r="K14" s="409"/>
      <c r="L14" s="393"/>
      <c r="M14" s="406"/>
      <c r="N14" s="404"/>
      <c r="O14" s="409"/>
      <c r="P14" s="409"/>
      <c r="Q14" s="393"/>
    </row>
    <row r="15" spans="1:17" x14ac:dyDescent="0.25">
      <c r="A15" s="391"/>
      <c r="B15" s="391"/>
      <c r="J15" s="389"/>
      <c r="K15" s="389"/>
      <c r="L15" s="393"/>
      <c r="M15" s="404"/>
      <c r="N15" s="404"/>
      <c r="O15" s="409"/>
      <c r="P15" s="409"/>
      <c r="Q15" s="393"/>
    </row>
    <row r="16" spans="1:17" x14ac:dyDescent="0.25">
      <c r="A16" s="400" t="s">
        <v>95</v>
      </c>
      <c r="B16" s="400"/>
      <c r="D16" s="389" t="s">
        <v>36</v>
      </c>
      <c r="E16" s="389"/>
      <c r="F16" s="389"/>
      <c r="H16" s="404" t="s">
        <v>71</v>
      </c>
      <c r="I16" s="404"/>
      <c r="J16" s="409">
        <f>ROUND(-'Ex. 2 Calcs - County'!B8,0)</f>
        <v>1009312</v>
      </c>
      <c r="K16" s="409"/>
      <c r="L16" s="393"/>
      <c r="M16" s="389" t="str">
        <f>H16</f>
        <v>Lease liability</v>
      </c>
      <c r="O16" s="409">
        <f>J16</f>
        <v>1009312</v>
      </c>
      <c r="P16" s="409"/>
      <c r="Q16" s="393"/>
    </row>
    <row r="17" spans="1:19" x14ac:dyDescent="0.25">
      <c r="A17" s="400"/>
      <c r="B17" s="400"/>
      <c r="E17" s="389"/>
      <c r="F17" s="389"/>
      <c r="H17" s="397"/>
      <c r="I17" s="404" t="s">
        <v>55</v>
      </c>
      <c r="J17" s="409"/>
      <c r="K17" s="409">
        <f>-ROUND('Ex. 2 Calcs - County'!H5,0)</f>
        <v>1009312</v>
      </c>
      <c r="L17" s="393"/>
      <c r="M17" s="404"/>
      <c r="N17" s="404" t="str">
        <f>I17</f>
        <v>Lease asset</v>
      </c>
      <c r="O17" s="409"/>
      <c r="P17" s="409">
        <f>K17</f>
        <v>1009312</v>
      </c>
      <c r="Q17" s="393"/>
    </row>
    <row r="18" spans="1:19" x14ac:dyDescent="0.25">
      <c r="A18" s="391"/>
      <c r="B18" s="391"/>
      <c r="E18" s="389"/>
      <c r="F18" s="389"/>
      <c r="H18" s="405" t="s">
        <v>192</v>
      </c>
      <c r="I18" s="404"/>
      <c r="J18" s="409"/>
      <c r="K18" s="409"/>
      <c r="L18" s="393"/>
      <c r="M18" s="405" t="str">
        <f>H18</f>
        <v>[To record adjustments to lease liability and lease</v>
      </c>
      <c r="N18" s="404"/>
      <c r="O18" s="409"/>
      <c r="P18" s="409"/>
      <c r="Q18" s="393"/>
    </row>
    <row r="19" spans="1:19" ht="14.65" customHeight="1" x14ac:dyDescent="0.25">
      <c r="A19" s="391"/>
      <c r="B19" s="391"/>
      <c r="E19" s="389"/>
      <c r="F19" s="389"/>
      <c r="H19" s="405" t="s">
        <v>193</v>
      </c>
      <c r="I19" s="404"/>
      <c r="J19" s="409"/>
      <c r="K19" s="409"/>
      <c r="L19" s="393"/>
      <c r="M19" s="405" t="str">
        <f>H19</f>
        <v xml:space="preserve">asset due to change in term and updating of </v>
      </c>
      <c r="N19" s="404"/>
      <c r="O19" s="409"/>
      <c r="P19" s="409"/>
      <c r="Q19" s="393"/>
    </row>
    <row r="20" spans="1:19" ht="14.65" customHeight="1" x14ac:dyDescent="0.25">
      <c r="A20" s="391"/>
      <c r="B20" s="391"/>
      <c r="E20" s="389"/>
      <c r="F20" s="389"/>
      <c r="H20" s="405" t="s">
        <v>100</v>
      </c>
      <c r="I20" s="404"/>
      <c r="J20" s="409"/>
      <c r="K20" s="409"/>
      <c r="L20" s="393"/>
      <c r="M20" s="405" t="str">
        <f>H20</f>
        <v>index used to determine variable payments]</v>
      </c>
      <c r="N20" s="404"/>
      <c r="O20" s="409"/>
      <c r="P20" s="409"/>
      <c r="Q20" s="393"/>
    </row>
    <row r="21" spans="1:19" x14ac:dyDescent="0.25">
      <c r="A21" s="391"/>
      <c r="B21" s="391"/>
      <c r="D21" s="404"/>
      <c r="E21" s="409"/>
      <c r="F21" s="409"/>
      <c r="G21" s="393"/>
      <c r="H21" s="404"/>
      <c r="I21" s="404"/>
      <c r="J21" s="409"/>
      <c r="K21" s="409"/>
      <c r="L21" s="393"/>
      <c r="O21" s="409"/>
      <c r="P21" s="409"/>
      <c r="Q21" s="393"/>
    </row>
    <row r="22" spans="1:19" x14ac:dyDescent="0.25">
      <c r="A22" s="391"/>
      <c r="B22" s="391"/>
      <c r="D22" s="404"/>
      <c r="E22" s="409"/>
      <c r="F22" s="409"/>
      <c r="G22" s="393"/>
      <c r="H22" s="404"/>
      <c r="I22" s="404"/>
      <c r="J22" s="409"/>
      <c r="K22" s="409"/>
      <c r="L22" s="393"/>
      <c r="O22" s="409"/>
      <c r="P22" s="409"/>
      <c r="Q22" s="393"/>
    </row>
    <row r="23" spans="1:19" x14ac:dyDescent="0.25">
      <c r="A23" s="400" t="s">
        <v>96</v>
      </c>
      <c r="B23" s="400"/>
      <c r="C23" s="389" t="s">
        <v>164</v>
      </c>
      <c r="D23" s="404"/>
      <c r="E23" s="388">
        <f>+F24</f>
        <v>72000</v>
      </c>
      <c r="G23" s="393"/>
      <c r="H23" s="493" t="s">
        <v>632</v>
      </c>
      <c r="I23" s="484"/>
      <c r="J23" s="409">
        <f>ROUND(+'Ex. 2 Calcs - County'!O27,0)</f>
        <v>105356</v>
      </c>
      <c r="K23" s="409"/>
      <c r="L23" s="393"/>
      <c r="M23" s="404" t="s">
        <v>75</v>
      </c>
      <c r="N23" s="404"/>
      <c r="O23" s="409">
        <f>+E23</f>
        <v>72000</v>
      </c>
      <c r="P23" s="409"/>
      <c r="Q23" s="393"/>
    </row>
    <row r="24" spans="1:19" x14ac:dyDescent="0.25">
      <c r="A24" s="391"/>
      <c r="B24" s="391"/>
      <c r="D24" s="389" t="str">
        <f>+C10</f>
        <v>Prepaid rent</v>
      </c>
      <c r="F24" s="388">
        <f>+E10</f>
        <v>72000</v>
      </c>
      <c r="G24" s="393"/>
      <c r="H24" s="397"/>
      <c r="I24" s="404" t="s">
        <v>630</v>
      </c>
      <c r="J24" s="409"/>
      <c r="K24" s="409">
        <f>+J23</f>
        <v>105356</v>
      </c>
      <c r="L24" s="393"/>
      <c r="M24" s="389" t="str">
        <f>+H23</f>
        <v>Amortization expense</v>
      </c>
      <c r="O24" s="388">
        <f>+J23</f>
        <v>105356</v>
      </c>
      <c r="Q24" s="393"/>
    </row>
    <row r="25" spans="1:19" ht="14.65" customHeight="1" x14ac:dyDescent="0.25">
      <c r="A25" s="391"/>
      <c r="B25" s="391"/>
      <c r="C25" s="405" t="s">
        <v>170</v>
      </c>
      <c r="G25" s="393"/>
      <c r="H25" s="405" t="s">
        <v>72</v>
      </c>
      <c r="I25" s="404"/>
      <c r="J25" s="409"/>
      <c r="K25" s="409"/>
      <c r="L25" s="393"/>
      <c r="M25" s="397"/>
      <c r="N25" s="404" t="str">
        <f>+I24</f>
        <v>Accumulated amortization - lease asset</v>
      </c>
      <c r="O25" s="409"/>
      <c r="P25" s="409">
        <f>+K24</f>
        <v>105356</v>
      </c>
      <c r="Q25" s="393"/>
      <c r="S25" s="389" t="s">
        <v>649</v>
      </c>
    </row>
    <row r="26" spans="1:19" ht="14.65" customHeight="1" x14ac:dyDescent="0.25">
      <c r="A26" s="391"/>
      <c r="B26" s="391"/>
      <c r="C26" s="405"/>
      <c r="G26" s="393"/>
      <c r="H26" s="405" t="s">
        <v>169</v>
      </c>
      <c r="I26" s="404"/>
      <c r="J26" s="409"/>
      <c r="K26" s="409"/>
      <c r="L26" s="393"/>
      <c r="N26" s="404" t="str">
        <f>+D24</f>
        <v>Prepaid rent</v>
      </c>
      <c r="O26" s="409"/>
      <c r="P26" s="409">
        <f>+F24</f>
        <v>72000</v>
      </c>
      <c r="Q26" s="393"/>
    </row>
    <row r="27" spans="1:19" ht="14.65" customHeight="1" x14ac:dyDescent="0.25">
      <c r="A27" s="391"/>
      <c r="B27" s="391"/>
      <c r="C27" s="405"/>
      <c r="D27" s="405"/>
      <c r="E27" s="500"/>
      <c r="F27" s="409"/>
      <c r="G27" s="393"/>
      <c r="H27" s="404"/>
      <c r="I27" s="404"/>
      <c r="J27" s="404"/>
      <c r="K27" s="409"/>
      <c r="L27" s="393"/>
      <c r="M27" s="405" t="str">
        <f>+H25</f>
        <v>[To record amortization of lease asset and recognize</v>
      </c>
      <c r="N27" s="404"/>
      <c r="O27" s="409"/>
      <c r="P27" s="409"/>
      <c r="Q27" s="393"/>
    </row>
    <row r="28" spans="1:19" ht="14.65" customHeight="1" x14ac:dyDescent="0.25">
      <c r="A28" s="391"/>
      <c r="B28" s="391"/>
      <c r="C28" s="405"/>
      <c r="D28" s="405"/>
      <c r="E28" s="500"/>
      <c r="F28" s="409"/>
      <c r="G28" s="393"/>
      <c r="H28" s="404"/>
      <c r="I28" s="404"/>
      <c r="J28" s="404"/>
      <c r="K28" s="409"/>
      <c r="L28" s="393"/>
      <c r="M28" s="405" t="s">
        <v>74</v>
      </c>
      <c r="N28" s="404"/>
      <c r="O28" s="409"/>
      <c r="P28" s="409"/>
      <c r="Q28" s="393"/>
    </row>
    <row r="29" spans="1:19" ht="14.65" customHeight="1" x14ac:dyDescent="0.25">
      <c r="A29" s="391"/>
      <c r="B29" s="391"/>
      <c r="C29" s="405"/>
      <c r="D29" s="405"/>
      <c r="E29" s="500"/>
      <c r="F29" s="409"/>
      <c r="G29" s="393"/>
      <c r="H29" s="404"/>
      <c r="I29" s="404"/>
      <c r="J29" s="404"/>
      <c r="K29" s="409"/>
      <c r="L29" s="393"/>
      <c r="M29" s="405"/>
      <c r="N29" s="404"/>
      <c r="O29" s="409"/>
      <c r="P29" s="409"/>
      <c r="Q29" s="393"/>
    </row>
    <row r="30" spans="1:19" ht="14.65" customHeight="1" x14ac:dyDescent="0.25">
      <c r="A30" s="391"/>
      <c r="B30" s="391"/>
      <c r="C30" s="405"/>
      <c r="D30" s="405"/>
      <c r="E30" s="409"/>
      <c r="F30" s="409"/>
      <c r="G30" s="393"/>
      <c r="H30" s="501"/>
      <c r="I30" s="501"/>
      <c r="J30" s="409"/>
      <c r="K30" s="409"/>
      <c r="L30" s="393"/>
      <c r="M30" s="397"/>
      <c r="N30" s="404"/>
      <c r="O30" s="409"/>
      <c r="P30" s="409"/>
      <c r="Q30" s="393"/>
    </row>
    <row r="31" spans="1:19" x14ac:dyDescent="0.25">
      <c r="A31" s="400" t="s">
        <v>97</v>
      </c>
      <c r="B31" s="400"/>
      <c r="C31" s="397"/>
      <c r="D31" s="404" t="s">
        <v>36</v>
      </c>
      <c r="E31" s="409"/>
      <c r="F31" s="409"/>
      <c r="G31" s="393"/>
      <c r="H31" s="404" t="s">
        <v>3</v>
      </c>
      <c r="I31" s="404"/>
      <c r="J31" s="409">
        <f>ROUND(+'Ex. 2 Calcs - County'!D28,0)</f>
        <v>2889</v>
      </c>
      <c r="K31" s="409"/>
      <c r="L31" s="393"/>
      <c r="M31" s="404" t="str">
        <f t="shared" ref="M31" si="0">H31</f>
        <v>Interest expense</v>
      </c>
      <c r="N31" s="404"/>
      <c r="O31" s="388">
        <f t="shared" ref="O31" si="1">J31</f>
        <v>2889</v>
      </c>
      <c r="Q31" s="393"/>
    </row>
    <row r="32" spans="1:19" x14ac:dyDescent="0.25">
      <c r="A32" s="391"/>
      <c r="B32" s="391"/>
      <c r="C32" s="404"/>
      <c r="D32" s="404"/>
      <c r="E32" s="409"/>
      <c r="F32" s="409"/>
      <c r="G32" s="393"/>
      <c r="H32" s="405"/>
      <c r="I32" s="404" t="s">
        <v>28</v>
      </c>
      <c r="J32" s="409"/>
      <c r="K32" s="409">
        <f>+J31</f>
        <v>2889</v>
      </c>
      <c r="L32" s="393"/>
      <c r="M32" s="405"/>
      <c r="N32" s="404" t="str">
        <f t="shared" ref="N32" si="2">I32</f>
        <v>Interest payable</v>
      </c>
      <c r="P32" s="388">
        <f t="shared" ref="P32" si="3">K32</f>
        <v>2889</v>
      </c>
      <c r="Q32" s="393"/>
    </row>
    <row r="33" spans="1:19" x14ac:dyDescent="0.25">
      <c r="A33" s="391"/>
      <c r="B33" s="391"/>
      <c r="C33" s="404"/>
      <c r="D33" s="404"/>
      <c r="E33" s="409"/>
      <c r="F33" s="409"/>
      <c r="G33" s="393"/>
      <c r="H33" s="405" t="s">
        <v>77</v>
      </c>
      <c r="I33" s="404"/>
      <c r="J33" s="409"/>
      <c r="K33" s="409"/>
      <c r="L33" s="393"/>
      <c r="M33" s="405" t="str">
        <f t="shared" ref="M33" si="4">H33</f>
        <v>[To accrue interest payable on lease]</v>
      </c>
      <c r="N33" s="404"/>
      <c r="Q33" s="393"/>
    </row>
    <row r="34" spans="1:19" x14ac:dyDescent="0.25">
      <c r="A34" s="391"/>
      <c r="B34" s="391"/>
      <c r="D34" s="404"/>
      <c r="E34" s="409"/>
      <c r="F34" s="409"/>
      <c r="G34" s="393"/>
      <c r="H34" s="404"/>
      <c r="I34" s="404"/>
      <c r="J34" s="409"/>
      <c r="K34" s="409"/>
      <c r="L34" s="393"/>
      <c r="M34" s="404"/>
      <c r="N34" s="404"/>
      <c r="O34" s="409"/>
      <c r="P34" s="409"/>
      <c r="Q34" s="393"/>
    </row>
    <row r="35" spans="1:19" x14ac:dyDescent="0.25">
      <c r="A35" s="391"/>
      <c r="B35" s="391"/>
      <c r="D35" s="404"/>
      <c r="E35" s="389"/>
      <c r="F35" s="409"/>
      <c r="G35" s="393"/>
      <c r="H35" s="404"/>
      <c r="I35" s="404"/>
      <c r="J35" s="409"/>
      <c r="K35" s="409"/>
      <c r="L35" s="393"/>
      <c r="M35" s="404"/>
      <c r="N35" s="404"/>
      <c r="O35" s="409"/>
      <c r="P35" s="409"/>
      <c r="Q35" s="393"/>
    </row>
    <row r="36" spans="1:19" x14ac:dyDescent="0.25">
      <c r="A36" s="398" t="s">
        <v>102</v>
      </c>
      <c r="B36" s="422"/>
      <c r="D36" s="404"/>
      <c r="E36" s="409"/>
      <c r="F36" s="409"/>
      <c r="G36" s="393"/>
      <c r="H36" s="404"/>
      <c r="I36" s="404"/>
      <c r="J36" s="409"/>
      <c r="K36" s="409"/>
      <c r="L36" s="393"/>
      <c r="M36" s="404"/>
      <c r="N36" s="404"/>
      <c r="O36" s="409"/>
      <c r="P36" s="409"/>
      <c r="Q36" s="393"/>
    </row>
    <row r="37" spans="1:19" ht="14.65" customHeight="1" x14ac:dyDescent="0.25">
      <c r="A37" s="400">
        <v>44013</v>
      </c>
      <c r="B37" s="400"/>
      <c r="C37" s="404" t="s">
        <v>80</v>
      </c>
      <c r="D37" s="405"/>
      <c r="E37" s="409">
        <f>ROUND(+'Ex. 2 Calcs - County'!E28,0)</f>
        <v>165111</v>
      </c>
      <c r="F37" s="409"/>
      <c r="G37" s="393"/>
      <c r="H37" s="389" t="str">
        <f>+H8</f>
        <v>Lease payable</v>
      </c>
      <c r="J37" s="402">
        <f>+K40</f>
        <v>165111</v>
      </c>
      <c r="K37" s="389"/>
      <c r="L37" s="393"/>
      <c r="M37" s="404" t="str">
        <f>+H37</f>
        <v>Lease payable</v>
      </c>
      <c r="N37" s="404"/>
      <c r="O37" s="409">
        <f>+J37</f>
        <v>165111</v>
      </c>
      <c r="P37" s="409"/>
      <c r="Q37" s="393"/>
    </row>
    <row r="38" spans="1:19" ht="14.65" customHeight="1" x14ac:dyDescent="0.25">
      <c r="A38" s="391"/>
      <c r="B38" s="391"/>
      <c r="C38" s="404" t="s">
        <v>81</v>
      </c>
      <c r="D38" s="404"/>
      <c r="E38" s="409">
        <f>ROUND(+'Ex. 2 Calcs - County'!D28,0)</f>
        <v>2889</v>
      </c>
      <c r="F38" s="389"/>
      <c r="G38" s="393"/>
      <c r="H38" s="493" t="str">
        <f>+I32</f>
        <v>Interest payable</v>
      </c>
      <c r="I38" s="404"/>
      <c r="J38" s="409">
        <f>+K32</f>
        <v>2889</v>
      </c>
      <c r="K38" s="409"/>
      <c r="L38" s="393"/>
      <c r="M38" s="404" t="str">
        <f>+H38</f>
        <v>Interest payable</v>
      </c>
      <c r="N38" s="404"/>
      <c r="O38" s="409">
        <f>+J38</f>
        <v>2889</v>
      </c>
      <c r="P38" s="409"/>
      <c r="Q38" s="393"/>
    </row>
    <row r="39" spans="1:19" ht="14.65" customHeight="1" x14ac:dyDescent="0.25">
      <c r="A39" s="391"/>
      <c r="B39" s="391"/>
      <c r="D39" s="493" t="str">
        <f>+C10</f>
        <v>Prepaid rent</v>
      </c>
      <c r="F39" s="409">
        <f>-ROUND('Ex. 2 Calcs - County'!L28,0)</f>
        <v>700</v>
      </c>
      <c r="G39" s="393"/>
      <c r="H39" s="493"/>
      <c r="I39" s="493" t="str">
        <f>+C38</f>
        <v>Debt service expenditure - interest</v>
      </c>
      <c r="J39" s="409"/>
      <c r="K39" s="409">
        <f>+J31</f>
        <v>2889</v>
      </c>
      <c r="L39" s="393"/>
      <c r="N39" s="404" t="str">
        <f>+D39</f>
        <v>Prepaid rent</v>
      </c>
      <c r="P39" s="409">
        <f>+F39</f>
        <v>700</v>
      </c>
      <c r="Q39" s="393"/>
    </row>
    <row r="40" spans="1:19" ht="14.65" customHeight="1" x14ac:dyDescent="0.25">
      <c r="A40" s="391"/>
      <c r="B40" s="391"/>
      <c r="C40" s="484"/>
      <c r="D40" s="493" t="s">
        <v>2</v>
      </c>
      <c r="E40" s="409"/>
      <c r="F40" s="409">
        <f>ROUND(+'Ex. 2 Calcs - County'!K28,0)</f>
        <v>167300</v>
      </c>
      <c r="G40" s="393"/>
      <c r="I40" s="493" t="str">
        <f>+C37</f>
        <v>Debt service expenditure - principal</v>
      </c>
      <c r="J40" s="409"/>
      <c r="K40" s="409">
        <f>+E37</f>
        <v>165111</v>
      </c>
      <c r="L40" s="393"/>
      <c r="M40" s="397"/>
      <c r="N40" s="389" t="str">
        <f>+D40</f>
        <v>Cash</v>
      </c>
      <c r="O40" s="389"/>
      <c r="P40" s="402">
        <f>+F40</f>
        <v>167300</v>
      </c>
      <c r="Q40" s="393"/>
    </row>
    <row r="41" spans="1:19" ht="14.65" customHeight="1" x14ac:dyDescent="0.25">
      <c r="A41" s="391"/>
      <c r="B41" s="391"/>
      <c r="C41" s="405" t="s">
        <v>82</v>
      </c>
      <c r="D41" s="405"/>
      <c r="E41" s="409"/>
      <c r="F41" s="409"/>
      <c r="G41" s="393"/>
      <c r="H41" s="484"/>
      <c r="I41" s="493"/>
      <c r="J41" s="409"/>
      <c r="K41" s="409"/>
      <c r="L41" s="393"/>
      <c r="M41" s="405" t="str">
        <f>C41</f>
        <v>[To record rental payment to lessor based on actual</v>
      </c>
      <c r="N41" s="404"/>
      <c r="O41" s="409"/>
      <c r="P41" s="409"/>
      <c r="Q41" s="393"/>
    </row>
    <row r="42" spans="1:19" ht="14.25" customHeight="1" x14ac:dyDescent="0.25">
      <c r="A42" s="391"/>
      <c r="B42" s="391"/>
      <c r="C42" s="405" t="s">
        <v>191</v>
      </c>
      <c r="D42" s="404"/>
      <c r="E42" s="409"/>
      <c r="F42" s="409"/>
      <c r="G42" s="393"/>
      <c r="H42" s="404"/>
      <c r="I42" s="404"/>
      <c r="J42" s="409"/>
      <c r="K42" s="409"/>
      <c r="L42" s="393"/>
      <c r="M42" s="406" t="str">
        <f>C42</f>
        <v xml:space="preserve"> variable payment amounts]</v>
      </c>
      <c r="N42" s="404"/>
      <c r="O42" s="409"/>
      <c r="P42" s="409"/>
      <c r="Q42" s="393"/>
    </row>
    <row r="43" spans="1:19" ht="14.25" customHeight="1" x14ac:dyDescent="0.25">
      <c r="A43" s="391"/>
      <c r="B43" s="391"/>
      <c r="C43" s="404"/>
      <c r="D43" s="404"/>
      <c r="E43" s="409"/>
      <c r="F43" s="409"/>
      <c r="G43" s="393"/>
      <c r="H43" s="404"/>
      <c r="I43" s="404"/>
      <c r="J43" s="409"/>
      <c r="K43" s="409"/>
      <c r="L43" s="393"/>
      <c r="N43" s="404"/>
      <c r="O43" s="409"/>
      <c r="P43" s="409"/>
      <c r="Q43" s="393"/>
      <c r="S43" s="389" t="s">
        <v>649</v>
      </c>
    </row>
    <row r="44" spans="1:19" ht="14.65" customHeight="1" x14ac:dyDescent="0.25">
      <c r="A44" s="391"/>
      <c r="B44" s="391"/>
      <c r="C44" s="397"/>
      <c r="D44" s="404"/>
      <c r="E44" s="409"/>
      <c r="F44" s="409"/>
      <c r="G44" s="393"/>
      <c r="H44" s="404"/>
      <c r="I44" s="404"/>
      <c r="J44" s="409"/>
      <c r="K44" s="409"/>
      <c r="L44" s="393"/>
      <c r="Q44" s="393"/>
    </row>
    <row r="45" spans="1:19" ht="14.65" customHeight="1" x14ac:dyDescent="0.25">
      <c r="A45" s="400" t="s">
        <v>103</v>
      </c>
      <c r="B45" s="400"/>
      <c r="C45" s="389" t="str">
        <f>+D39</f>
        <v>Prepaid rent</v>
      </c>
      <c r="E45" s="388">
        <f>+F39</f>
        <v>700</v>
      </c>
      <c r="G45" s="393"/>
      <c r="H45" s="493" t="str">
        <f>+H23</f>
        <v>Amortization expense</v>
      </c>
      <c r="I45" s="484"/>
      <c r="J45" s="409">
        <f>ROUND(+'Ex. 2 Calcs - County'!O28,0)</f>
        <v>105356</v>
      </c>
      <c r="K45" s="409"/>
      <c r="L45" s="393"/>
      <c r="M45" s="389" t="str">
        <f>+H45</f>
        <v>Amortization expense</v>
      </c>
      <c r="O45" s="402">
        <f>+J45</f>
        <v>105356</v>
      </c>
      <c r="P45" s="409"/>
      <c r="Q45" s="393"/>
    </row>
    <row r="46" spans="1:19" ht="14.65" customHeight="1" x14ac:dyDescent="0.25">
      <c r="A46" s="391"/>
      <c r="B46" s="391"/>
      <c r="D46" s="389" t="s">
        <v>164</v>
      </c>
      <c r="F46" s="388">
        <f>+E45</f>
        <v>700</v>
      </c>
      <c r="G46" s="393"/>
      <c r="H46" s="397"/>
      <c r="I46" s="404" t="str">
        <f>$I$24</f>
        <v>Accumulated amortization - lease asset</v>
      </c>
      <c r="J46" s="409"/>
      <c r="K46" s="409">
        <f>+J45</f>
        <v>105356</v>
      </c>
      <c r="L46" s="393"/>
      <c r="M46" s="404" t="str">
        <f>+C45</f>
        <v>Prepaid rent</v>
      </c>
      <c r="O46" s="409">
        <f>+E45</f>
        <v>700</v>
      </c>
      <c r="Q46" s="393"/>
    </row>
    <row r="47" spans="1:19" ht="14.65" customHeight="1" x14ac:dyDescent="0.25">
      <c r="A47" s="391"/>
      <c r="B47" s="391"/>
      <c r="C47" s="405" t="s">
        <v>170</v>
      </c>
      <c r="G47" s="393"/>
      <c r="H47" s="405" t="s">
        <v>72</v>
      </c>
      <c r="I47" s="404"/>
      <c r="J47" s="409"/>
      <c r="K47" s="409"/>
      <c r="L47" s="393"/>
      <c r="N47" s="404" t="s">
        <v>75</v>
      </c>
      <c r="P47" s="409">
        <f>+F46</f>
        <v>700</v>
      </c>
      <c r="Q47" s="393"/>
    </row>
    <row r="48" spans="1:19" ht="14.65" customHeight="1" x14ac:dyDescent="0.25">
      <c r="A48" s="391"/>
      <c r="B48" s="391"/>
      <c r="G48" s="393"/>
      <c r="H48" s="405" t="s">
        <v>169</v>
      </c>
      <c r="I48" s="404"/>
      <c r="J48" s="409"/>
      <c r="K48" s="409"/>
      <c r="L48" s="393"/>
      <c r="M48" s="397"/>
      <c r="N48" s="404" t="str">
        <f>+I46</f>
        <v>Accumulated amortization - lease asset</v>
      </c>
      <c r="O48" s="409"/>
      <c r="P48" s="409">
        <f>+K46</f>
        <v>105356</v>
      </c>
      <c r="Q48" s="393"/>
    </row>
    <row r="49" spans="1:85" ht="14.65" customHeight="1" x14ac:dyDescent="0.25">
      <c r="A49" s="502"/>
      <c r="B49" s="502"/>
      <c r="C49" s="405"/>
      <c r="D49" s="405"/>
      <c r="E49" s="500"/>
      <c r="F49" s="409"/>
      <c r="G49" s="393"/>
      <c r="H49" s="404"/>
      <c r="I49" s="404"/>
      <c r="J49" s="404"/>
      <c r="K49" s="409"/>
      <c r="L49" s="393"/>
      <c r="M49" s="405" t="str">
        <f>+H47</f>
        <v>[To record amortization of lease asset and recognize</v>
      </c>
      <c r="Q49" s="393"/>
    </row>
    <row r="50" spans="1:85" ht="14.65" customHeight="1" x14ac:dyDescent="0.25">
      <c r="A50" s="502"/>
      <c r="B50" s="502"/>
      <c r="C50" s="405"/>
      <c r="D50" s="405"/>
      <c r="E50" s="500"/>
      <c r="F50" s="409"/>
      <c r="G50" s="393"/>
      <c r="H50" s="404"/>
      <c r="I50" s="404"/>
      <c r="J50" s="404"/>
      <c r="K50" s="409"/>
      <c r="L50" s="393"/>
      <c r="M50" s="405" t="s">
        <v>74</v>
      </c>
      <c r="O50" s="409"/>
      <c r="P50" s="409"/>
      <c r="Q50" s="393"/>
    </row>
    <row r="51" spans="1:85" ht="14.65" customHeight="1" x14ac:dyDescent="0.25">
      <c r="A51" s="502"/>
      <c r="B51" s="502"/>
      <c r="C51" s="405"/>
      <c r="D51" s="405"/>
      <c r="E51" s="500"/>
      <c r="F51" s="409"/>
      <c r="G51" s="393"/>
      <c r="H51" s="404"/>
      <c r="I51" s="404"/>
      <c r="J51" s="404"/>
      <c r="K51" s="409"/>
      <c r="L51" s="393"/>
      <c r="N51" s="404"/>
      <c r="O51" s="409"/>
      <c r="P51" s="409"/>
      <c r="Q51" s="393"/>
    </row>
    <row r="52" spans="1:85" ht="14.65" customHeight="1" x14ac:dyDescent="0.25">
      <c r="A52" s="391"/>
      <c r="B52" s="391"/>
      <c r="C52" s="405"/>
      <c r="D52" s="405"/>
      <c r="E52" s="409"/>
      <c r="F52" s="409"/>
      <c r="G52" s="393"/>
      <c r="H52" s="501"/>
      <c r="I52" s="501"/>
      <c r="J52" s="409"/>
      <c r="K52" s="409"/>
      <c r="L52" s="393"/>
      <c r="N52" s="404"/>
      <c r="O52" s="409"/>
      <c r="P52" s="409"/>
      <c r="Q52" s="393"/>
      <c r="R52" s="415"/>
      <c r="S52" s="415"/>
      <c r="T52" s="415"/>
      <c r="U52" s="415"/>
      <c r="V52" s="415"/>
      <c r="W52" s="415"/>
      <c r="X52" s="415"/>
      <c r="Y52" s="415"/>
      <c r="Z52" s="415"/>
      <c r="AA52" s="415"/>
      <c r="AB52" s="415"/>
      <c r="AC52" s="415"/>
      <c r="AD52" s="415"/>
      <c r="AE52" s="415"/>
      <c r="AF52" s="415"/>
      <c r="AG52" s="415"/>
      <c r="AH52" s="415"/>
      <c r="AI52" s="415"/>
      <c r="AJ52" s="415"/>
      <c r="AK52" s="415"/>
      <c r="AL52" s="415"/>
      <c r="AM52" s="415"/>
      <c r="AN52" s="415"/>
      <c r="AO52" s="415"/>
      <c r="AP52" s="415"/>
      <c r="AQ52" s="415"/>
      <c r="AR52" s="415"/>
      <c r="AS52" s="415"/>
      <c r="AT52" s="415"/>
      <c r="AU52" s="415"/>
      <c r="AV52" s="415"/>
      <c r="AW52" s="415"/>
      <c r="AX52" s="415"/>
      <c r="AY52" s="415"/>
      <c r="AZ52" s="415"/>
      <c r="BA52" s="415"/>
      <c r="BB52" s="415"/>
      <c r="BC52" s="415"/>
      <c r="BD52" s="415"/>
      <c r="BE52" s="415"/>
      <c r="BF52" s="415"/>
      <c r="BG52" s="415"/>
      <c r="BH52" s="415"/>
      <c r="BI52" s="415"/>
      <c r="BJ52" s="415"/>
      <c r="BK52" s="415"/>
      <c r="BL52" s="415"/>
      <c r="BM52" s="415"/>
      <c r="BN52" s="415"/>
      <c r="BO52" s="415"/>
      <c r="BP52" s="415"/>
      <c r="BQ52" s="415"/>
      <c r="BR52" s="415"/>
      <c r="BS52" s="415"/>
      <c r="BT52" s="415"/>
      <c r="BU52" s="415"/>
      <c r="BV52" s="415"/>
      <c r="BW52" s="415"/>
      <c r="BX52" s="415"/>
      <c r="BY52" s="415"/>
      <c r="BZ52" s="415"/>
      <c r="CA52" s="415"/>
      <c r="CB52" s="415"/>
      <c r="CC52" s="415"/>
      <c r="CD52" s="415"/>
      <c r="CE52" s="415"/>
      <c r="CF52" s="415"/>
      <c r="CG52" s="503"/>
    </row>
    <row r="53" spans="1:85" ht="14.65" customHeight="1" x14ac:dyDescent="0.25">
      <c r="A53" s="400" t="s">
        <v>104</v>
      </c>
      <c r="B53" s="400"/>
      <c r="C53" s="397"/>
      <c r="D53" s="404" t="s">
        <v>36</v>
      </c>
      <c r="E53" s="409"/>
      <c r="F53" s="409"/>
      <c r="G53" s="393"/>
      <c r="H53" s="404"/>
      <c r="I53" s="741" t="s">
        <v>727</v>
      </c>
      <c r="J53" s="742"/>
      <c r="K53" s="409"/>
      <c r="L53" s="393"/>
      <c r="M53" s="404" t="s">
        <v>36</v>
      </c>
      <c r="N53" s="404"/>
      <c r="O53" s="409"/>
      <c r="P53" s="409"/>
      <c r="Q53" s="393"/>
    </row>
    <row r="54" spans="1:85" ht="14.65" customHeight="1" x14ac:dyDescent="0.25">
      <c r="A54" s="485"/>
      <c r="B54" s="485"/>
      <c r="C54" s="404"/>
      <c r="D54" s="404"/>
      <c r="E54" s="409"/>
      <c r="F54" s="409"/>
      <c r="G54" s="393"/>
      <c r="H54" s="405"/>
      <c r="I54" s="760" t="s">
        <v>639</v>
      </c>
      <c r="J54" s="744"/>
      <c r="K54" s="409"/>
      <c r="L54" s="393"/>
      <c r="M54" s="405"/>
      <c r="N54" s="404"/>
      <c r="O54" s="409"/>
      <c r="P54" s="409"/>
      <c r="Q54" s="393"/>
    </row>
    <row r="55" spans="1:85" ht="14.65" customHeight="1" x14ac:dyDescent="0.25">
      <c r="A55" s="391"/>
      <c r="B55" s="391"/>
      <c r="C55" s="404"/>
      <c r="D55" s="404"/>
      <c r="E55" s="409"/>
      <c r="F55" s="409"/>
      <c r="G55" s="393"/>
      <c r="H55" s="405"/>
      <c r="K55" s="409"/>
      <c r="L55" s="393"/>
      <c r="M55" s="405"/>
      <c r="N55" s="404"/>
      <c r="O55" s="409"/>
      <c r="P55" s="409"/>
      <c r="Q55" s="393"/>
    </row>
    <row r="56" spans="1:85" x14ac:dyDescent="0.25">
      <c r="A56" s="391"/>
      <c r="B56" s="391"/>
      <c r="C56" s="404"/>
      <c r="D56" s="404"/>
      <c r="E56" s="409"/>
      <c r="F56" s="409"/>
      <c r="G56" s="393"/>
      <c r="H56" s="405"/>
      <c r="I56" s="404"/>
      <c r="J56" s="409"/>
      <c r="K56" s="409"/>
      <c r="L56" s="393"/>
      <c r="M56" s="405"/>
      <c r="N56" s="404"/>
      <c r="Q56" s="393"/>
    </row>
    <row r="57" spans="1:85" x14ac:dyDescent="0.25">
      <c r="A57" s="391"/>
      <c r="B57" s="391"/>
      <c r="C57" s="404"/>
      <c r="D57" s="404"/>
      <c r="E57" s="409"/>
      <c r="F57" s="409"/>
      <c r="G57" s="393"/>
      <c r="H57" s="405"/>
      <c r="I57" s="404"/>
      <c r="J57" s="409"/>
      <c r="K57" s="409"/>
      <c r="L57" s="393"/>
      <c r="M57" s="405"/>
      <c r="N57" s="404"/>
      <c r="Q57" s="393"/>
    </row>
    <row r="58" spans="1:85" x14ac:dyDescent="0.25">
      <c r="A58" s="398" t="s">
        <v>107</v>
      </c>
      <c r="B58" s="422"/>
      <c r="C58" s="493" t="s">
        <v>163</v>
      </c>
      <c r="E58" s="409">
        <f>ROUND(+'Ex. 2 Calcs - County'!L29,0)</f>
        <v>54940</v>
      </c>
      <c r="G58" s="393"/>
      <c r="H58" s="493"/>
      <c r="I58" s="484"/>
      <c r="J58" s="409"/>
      <c r="K58" s="409"/>
      <c r="L58" s="393"/>
      <c r="M58" s="404" t="str">
        <f>+C58</f>
        <v>Prepaid rent</v>
      </c>
      <c r="N58" s="404"/>
      <c r="O58" s="409">
        <f>+E58</f>
        <v>54940</v>
      </c>
      <c r="P58" s="409"/>
      <c r="Q58" s="393"/>
    </row>
    <row r="59" spans="1:85" ht="14.65" customHeight="1" x14ac:dyDescent="0.25">
      <c r="A59" s="400">
        <v>44378</v>
      </c>
      <c r="B59" s="400"/>
      <c r="C59" s="484"/>
      <c r="D59" s="493" t="s">
        <v>2</v>
      </c>
      <c r="E59" s="409"/>
      <c r="F59" s="409">
        <f>ROUND(+'Ex. 2 Calcs - County'!K29,0)</f>
        <v>54940</v>
      </c>
      <c r="G59" s="393"/>
      <c r="H59" s="397"/>
      <c r="I59" s="404"/>
      <c r="J59" s="409"/>
      <c r="K59" s="409"/>
      <c r="L59" s="393"/>
      <c r="N59" s="389" t="str">
        <f>+D59</f>
        <v>Cash</v>
      </c>
      <c r="P59" s="409">
        <f>+F59</f>
        <v>54940</v>
      </c>
      <c r="Q59" s="393"/>
    </row>
    <row r="60" spans="1:85" ht="14.65" customHeight="1" x14ac:dyDescent="0.25">
      <c r="A60" s="391"/>
      <c r="B60" s="391"/>
      <c r="C60" s="405" t="s">
        <v>82</v>
      </c>
      <c r="D60" s="405"/>
      <c r="E60" s="409"/>
      <c r="F60" s="409"/>
      <c r="G60" s="393"/>
      <c r="H60" s="405"/>
      <c r="I60" s="404"/>
      <c r="J60" s="409"/>
      <c r="K60" s="409"/>
      <c r="L60" s="393"/>
      <c r="M60" s="405" t="str">
        <f t="shared" ref="M60:M61" si="5">C60</f>
        <v>[To record rental payment to lessor based on actual</v>
      </c>
      <c r="N60" s="404"/>
      <c r="O60" s="409"/>
      <c r="P60" s="409"/>
      <c r="Q60" s="393"/>
    </row>
    <row r="61" spans="1:85" ht="14.65" customHeight="1" x14ac:dyDescent="0.25">
      <c r="A61" s="391"/>
      <c r="B61" s="391"/>
      <c r="C61" s="405" t="s">
        <v>191</v>
      </c>
      <c r="H61" s="405"/>
      <c r="I61" s="404"/>
      <c r="J61" s="409"/>
      <c r="K61" s="409"/>
      <c r="L61" s="393"/>
      <c r="M61" s="406" t="str">
        <f t="shared" si="5"/>
        <v xml:space="preserve"> variable payment amounts]</v>
      </c>
      <c r="N61" s="404"/>
      <c r="O61" s="409"/>
      <c r="Q61" s="393"/>
    </row>
    <row r="62" spans="1:85" ht="14.65" customHeight="1" x14ac:dyDescent="0.25">
      <c r="A62" s="391"/>
      <c r="B62" s="391"/>
      <c r="H62" s="404"/>
      <c r="I62" s="404"/>
      <c r="J62" s="404"/>
      <c r="K62" s="409"/>
      <c r="L62" s="393"/>
      <c r="M62" s="405"/>
      <c r="N62" s="404"/>
      <c r="O62" s="409"/>
      <c r="P62" s="409"/>
      <c r="Q62" s="393"/>
    </row>
    <row r="63" spans="1:85" ht="14.25" customHeight="1" x14ac:dyDescent="0.25">
      <c r="A63" s="391"/>
      <c r="B63" s="391"/>
      <c r="C63" s="405"/>
      <c r="D63" s="404"/>
      <c r="E63" s="409"/>
      <c r="F63" s="409"/>
      <c r="G63" s="393"/>
      <c r="H63" s="404"/>
      <c r="I63" s="404"/>
      <c r="J63" s="404"/>
      <c r="K63" s="409"/>
      <c r="L63" s="393"/>
      <c r="M63" s="405"/>
      <c r="N63" s="404"/>
      <c r="O63" s="409"/>
      <c r="P63" s="409"/>
      <c r="Q63" s="393"/>
    </row>
    <row r="64" spans="1:85" ht="14.25" customHeight="1" x14ac:dyDescent="0.25">
      <c r="A64" s="391"/>
      <c r="B64" s="391"/>
      <c r="C64" s="405"/>
      <c r="D64" s="404"/>
      <c r="E64" s="409"/>
      <c r="F64" s="409"/>
      <c r="G64" s="393"/>
      <c r="H64" s="404"/>
      <c r="I64" s="404"/>
      <c r="J64" s="404"/>
      <c r="K64" s="409"/>
      <c r="L64" s="393"/>
      <c r="M64" s="405"/>
      <c r="N64" s="404"/>
      <c r="O64" s="409"/>
      <c r="P64" s="409"/>
      <c r="Q64" s="393"/>
    </row>
    <row r="65" spans="1:17" ht="14.65" customHeight="1" x14ac:dyDescent="0.25">
      <c r="G65" s="393"/>
      <c r="H65" s="404"/>
      <c r="I65" s="404"/>
      <c r="J65" s="404"/>
      <c r="K65" s="409"/>
      <c r="L65" s="393"/>
      <c r="M65" s="405"/>
      <c r="N65" s="404"/>
      <c r="O65" s="409"/>
      <c r="P65" s="409"/>
      <c r="Q65" s="393"/>
    </row>
    <row r="66" spans="1:17" ht="14.65" customHeight="1" x14ac:dyDescent="0.25">
      <c r="A66" s="400">
        <v>44742</v>
      </c>
      <c r="B66" s="400"/>
      <c r="C66" s="389" t="s">
        <v>164</v>
      </c>
      <c r="D66" s="404"/>
      <c r="E66" s="388">
        <f>+F67</f>
        <v>54940</v>
      </c>
      <c r="G66" s="393"/>
      <c r="H66" s="493" t="str">
        <f>+H45</f>
        <v>Amortization expense</v>
      </c>
      <c r="I66" s="484"/>
      <c r="J66" s="409">
        <f>ROUND(+'Ex. 2 Calcs - County'!O29,0)</f>
        <v>105356</v>
      </c>
      <c r="K66" s="409"/>
      <c r="L66" s="393"/>
      <c r="M66" s="404" t="s">
        <v>75</v>
      </c>
      <c r="N66" s="404"/>
      <c r="O66" s="409">
        <f>+E66</f>
        <v>54940</v>
      </c>
      <c r="P66" s="409"/>
      <c r="Q66" s="393"/>
    </row>
    <row r="67" spans="1:17" ht="14.65" customHeight="1" x14ac:dyDescent="0.25">
      <c r="A67" s="391"/>
      <c r="B67" s="391"/>
      <c r="D67" s="389" t="str">
        <f>+C58</f>
        <v>Prepaid rent</v>
      </c>
      <c r="F67" s="388">
        <f>+E58</f>
        <v>54940</v>
      </c>
      <c r="G67" s="393"/>
      <c r="H67" s="397"/>
      <c r="I67" s="404" t="str">
        <f>$I$24</f>
        <v>Accumulated amortization - lease asset</v>
      </c>
      <c r="J67" s="409"/>
      <c r="K67" s="409">
        <f>+J66</f>
        <v>105356</v>
      </c>
      <c r="L67" s="393"/>
      <c r="M67" s="389" t="str">
        <f>+H66</f>
        <v>Amortization expense</v>
      </c>
      <c r="O67" s="388">
        <f>+J66</f>
        <v>105356</v>
      </c>
      <c r="Q67" s="393"/>
    </row>
    <row r="68" spans="1:17" ht="14.65" customHeight="1" x14ac:dyDescent="0.25">
      <c r="A68" s="391"/>
      <c r="B68" s="391"/>
      <c r="C68" s="405" t="s">
        <v>170</v>
      </c>
      <c r="G68" s="393"/>
      <c r="H68" s="405" t="s">
        <v>72</v>
      </c>
      <c r="I68" s="404"/>
      <c r="J68" s="409"/>
      <c r="K68" s="409"/>
      <c r="L68" s="393"/>
      <c r="M68" s="397"/>
      <c r="N68" s="404" t="str">
        <f>+I67</f>
        <v>Accumulated amortization - lease asset</v>
      </c>
      <c r="O68" s="409"/>
      <c r="P68" s="409">
        <f>+K67</f>
        <v>105356</v>
      </c>
      <c r="Q68" s="393"/>
    </row>
    <row r="69" spans="1:17" x14ac:dyDescent="0.25">
      <c r="A69" s="391"/>
      <c r="B69" s="391"/>
      <c r="E69" s="409"/>
      <c r="F69" s="409"/>
      <c r="G69" s="393"/>
      <c r="H69" s="405" t="s">
        <v>169</v>
      </c>
      <c r="I69" s="404"/>
      <c r="J69" s="409"/>
      <c r="K69" s="409"/>
      <c r="L69" s="393"/>
      <c r="N69" s="404" t="str">
        <f>+D67</f>
        <v>Prepaid rent</v>
      </c>
      <c r="O69" s="409"/>
      <c r="P69" s="409">
        <f>+F67</f>
        <v>54940</v>
      </c>
      <c r="Q69" s="393"/>
    </row>
    <row r="70" spans="1:17" x14ac:dyDescent="0.25">
      <c r="C70" s="393"/>
      <c r="D70" s="393"/>
      <c r="E70" s="505">
        <f>SUM(E6:E69)-SUM(F6:F69)</f>
        <v>0</v>
      </c>
      <c r="F70" s="392"/>
      <c r="G70" s="393"/>
      <c r="H70" s="393"/>
      <c r="I70" s="393"/>
      <c r="J70" s="505">
        <f>SUM(J6:J69)-SUM(K6:K69)</f>
        <v>0</v>
      </c>
      <c r="K70" s="409"/>
      <c r="L70" s="393"/>
      <c r="M70" s="405" t="str">
        <f>+H68</f>
        <v>[To record amortization of lease asset and recognize</v>
      </c>
      <c r="N70" s="404"/>
      <c r="O70" s="409"/>
      <c r="P70" s="409"/>
      <c r="Q70" s="393"/>
    </row>
    <row r="71" spans="1:17" x14ac:dyDescent="0.25">
      <c r="C71" s="393"/>
      <c r="D71" s="393"/>
      <c r="E71" s="392"/>
      <c r="F71" s="392"/>
      <c r="G71" s="393"/>
      <c r="H71" s="393"/>
      <c r="I71" s="393"/>
      <c r="J71" s="392"/>
      <c r="K71" s="392"/>
      <c r="L71" s="393"/>
      <c r="M71" s="405" t="s">
        <v>74</v>
      </c>
      <c r="N71" s="404"/>
      <c r="O71" s="409"/>
      <c r="P71" s="409"/>
      <c r="Q71" s="393"/>
    </row>
    <row r="72" spans="1:17" x14ac:dyDescent="0.25">
      <c r="C72" s="393"/>
      <c r="D72" s="393"/>
      <c r="E72" s="392"/>
      <c r="F72" s="392"/>
      <c r="G72" s="393"/>
      <c r="H72" s="393"/>
      <c r="I72" s="393"/>
      <c r="J72" s="392"/>
      <c r="K72" s="392"/>
      <c r="L72" s="393"/>
      <c r="M72" s="393"/>
      <c r="N72" s="393"/>
      <c r="O72" s="392"/>
      <c r="P72" s="392"/>
      <c r="Q72" s="393"/>
    </row>
    <row r="73" spans="1:17" x14ac:dyDescent="0.25">
      <c r="C73" s="393"/>
      <c r="D73" s="393"/>
      <c r="E73" s="392"/>
      <c r="F73" s="392"/>
      <c r="G73" s="393"/>
      <c r="H73" s="393"/>
      <c r="I73" s="393"/>
      <c r="J73" s="392"/>
      <c r="K73" s="392"/>
      <c r="L73" s="393"/>
      <c r="M73" s="393"/>
      <c r="N73" s="393"/>
      <c r="O73" s="392"/>
      <c r="P73" s="392"/>
      <c r="Q73" s="393"/>
    </row>
    <row r="74" spans="1:17" x14ac:dyDescent="0.25">
      <c r="C74" s="393"/>
      <c r="D74" s="393"/>
      <c r="E74" s="392"/>
      <c r="F74" s="392"/>
      <c r="G74" s="393"/>
      <c r="H74" s="393"/>
      <c r="I74" s="393"/>
      <c r="J74" s="392"/>
      <c r="K74" s="392"/>
      <c r="L74" s="393"/>
      <c r="M74" s="393"/>
      <c r="N74" s="393"/>
      <c r="O74" s="392"/>
      <c r="P74" s="392"/>
      <c r="Q74" s="393"/>
    </row>
    <row r="75" spans="1:17" x14ac:dyDescent="0.25">
      <c r="C75" s="393"/>
      <c r="D75" s="393"/>
      <c r="E75" s="392"/>
      <c r="F75" s="392"/>
      <c r="G75" s="393"/>
      <c r="H75" s="393"/>
      <c r="I75" s="393"/>
      <c r="J75" s="392"/>
      <c r="K75" s="392"/>
      <c r="L75" s="393"/>
      <c r="M75" s="393"/>
      <c r="N75" s="393"/>
      <c r="O75" s="392"/>
      <c r="P75" s="392"/>
      <c r="Q75" s="393"/>
    </row>
    <row r="76" spans="1:17" x14ac:dyDescent="0.25">
      <c r="C76" s="393"/>
      <c r="D76" s="393"/>
      <c r="E76" s="392"/>
      <c r="F76" s="392"/>
      <c r="G76" s="393"/>
      <c r="H76" s="393"/>
      <c r="I76" s="393"/>
      <c r="J76" s="392"/>
      <c r="K76" s="392"/>
      <c r="L76" s="393"/>
      <c r="M76" s="393"/>
      <c r="N76" s="393"/>
      <c r="O76" s="392"/>
      <c r="P76" s="392"/>
      <c r="Q76" s="393"/>
    </row>
    <row r="77" spans="1:17" x14ac:dyDescent="0.25">
      <c r="C77" s="393"/>
      <c r="D77" s="393"/>
      <c r="E77" s="392"/>
      <c r="F77" s="392"/>
      <c r="G77" s="393"/>
      <c r="H77" s="393"/>
      <c r="I77" s="393"/>
      <c r="J77" s="392"/>
      <c r="K77" s="392"/>
      <c r="L77" s="393"/>
      <c r="M77" s="393"/>
      <c r="N77" s="393"/>
      <c r="O77" s="392"/>
      <c r="P77" s="392"/>
      <c r="Q77" s="393"/>
    </row>
  </sheetData>
  <mergeCells count="6">
    <mergeCell ref="I54:J54"/>
    <mergeCell ref="A1:P1"/>
    <mergeCell ref="C4:F4"/>
    <mergeCell ref="H4:K4"/>
    <mergeCell ref="M4:P4"/>
    <mergeCell ref="I53:J5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1"/>
  <sheetViews>
    <sheetView workbookViewId="0"/>
  </sheetViews>
  <sheetFormatPr defaultColWidth="9" defaultRowHeight="18.75" x14ac:dyDescent="0.3"/>
  <cols>
    <col min="1" max="1" width="9" style="60"/>
    <col min="2" max="2" width="7.28515625" style="60" customWidth="1"/>
    <col min="3" max="3" width="39.42578125" style="60" customWidth="1"/>
    <col min="4" max="4" width="6.140625" style="60" bestFit="1" customWidth="1"/>
    <col min="5" max="5" width="14.85546875" style="60" bestFit="1" customWidth="1"/>
    <col min="6" max="16384" width="9" style="60"/>
  </cols>
  <sheetData>
    <row r="2" spans="2:5" x14ac:dyDescent="0.3">
      <c r="B2" s="78" t="s">
        <v>626</v>
      </c>
    </row>
    <row r="5" spans="2:5" x14ac:dyDescent="0.3">
      <c r="B5" s="60" t="s">
        <v>29</v>
      </c>
      <c r="E5" s="83" t="s">
        <v>114</v>
      </c>
    </row>
    <row r="6" spans="2:5" x14ac:dyDescent="0.3">
      <c r="B6" s="60" t="s">
        <v>30</v>
      </c>
      <c r="E6" s="60">
        <v>10</v>
      </c>
    </row>
    <row r="7" spans="2:5" x14ac:dyDescent="0.3">
      <c r="B7" s="60" t="s">
        <v>35</v>
      </c>
      <c r="E7" s="83" t="s">
        <v>213</v>
      </c>
    </row>
    <row r="8" spans="2:5" x14ac:dyDescent="0.3">
      <c r="B8" s="60" t="s">
        <v>115</v>
      </c>
      <c r="E8" s="79">
        <v>500000</v>
      </c>
    </row>
    <row r="9" spans="2:5" x14ac:dyDescent="0.3">
      <c r="E9" s="79"/>
    </row>
    <row r="10" spans="2:5" x14ac:dyDescent="0.3">
      <c r="C10" s="60" t="s">
        <v>118</v>
      </c>
      <c r="D10" s="70">
        <v>0.7</v>
      </c>
      <c r="E10" s="80">
        <f>+$E$8*D10</f>
        <v>350000</v>
      </c>
    </row>
    <row r="11" spans="2:5" x14ac:dyDescent="0.3">
      <c r="C11" s="60" t="s">
        <v>119</v>
      </c>
      <c r="D11" s="70">
        <v>0.1</v>
      </c>
      <c r="E11" s="80">
        <f t="shared" ref="E11:E12" si="0">+$E$8*D11</f>
        <v>50000</v>
      </c>
    </row>
    <row r="12" spans="2:5" x14ac:dyDescent="0.3">
      <c r="C12" s="60" t="s">
        <v>120</v>
      </c>
      <c r="D12" s="70">
        <v>0.2</v>
      </c>
      <c r="E12" s="80">
        <f t="shared" si="0"/>
        <v>100000</v>
      </c>
    </row>
    <row r="13" spans="2:5" x14ac:dyDescent="0.3">
      <c r="B13" s="60" t="s">
        <v>292</v>
      </c>
      <c r="D13" s="80"/>
      <c r="E13" s="70">
        <v>0.03</v>
      </c>
    </row>
    <row r="14" spans="2:5" x14ac:dyDescent="0.3">
      <c r="B14" s="60" t="s">
        <v>131</v>
      </c>
      <c r="D14" s="112"/>
    </row>
    <row r="15" spans="2:5" x14ac:dyDescent="0.3">
      <c r="C15" s="60" t="s">
        <v>116</v>
      </c>
      <c r="D15" s="80"/>
      <c r="E15" s="80">
        <v>800000</v>
      </c>
    </row>
    <row r="16" spans="2:5" x14ac:dyDescent="0.3">
      <c r="C16" s="60" t="s">
        <v>117</v>
      </c>
      <c r="D16" s="80"/>
      <c r="E16" s="80">
        <v>64500</v>
      </c>
    </row>
    <row r="17" spans="4:5" x14ac:dyDescent="0.3">
      <c r="D17" s="96"/>
      <c r="E17" s="80"/>
    </row>
    <row r="18" spans="4:5" x14ac:dyDescent="0.3">
      <c r="D18" s="80"/>
    </row>
    <row r="19" spans="4:5" x14ac:dyDescent="0.3">
      <c r="D19" s="112"/>
    </row>
    <row r="20" spans="4:5" x14ac:dyDescent="0.3">
      <c r="E20" s="80"/>
    </row>
    <row r="21" spans="4:5" x14ac:dyDescent="0.3">
      <c r="E21" s="70"/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/>
  </sheetViews>
  <sheetFormatPr defaultColWidth="9" defaultRowHeight="15.75" x14ac:dyDescent="0.25"/>
  <cols>
    <col min="1" max="1" width="4.140625" style="429" customWidth="1"/>
    <col min="2" max="2" width="11.28515625" style="429" customWidth="1"/>
    <col min="3" max="3" width="12.42578125" style="429" bestFit="1" customWidth="1"/>
    <col min="4" max="4" width="11.85546875" style="429" bestFit="1" customWidth="1"/>
    <col min="5" max="5" width="10.7109375" style="429" customWidth="1"/>
    <col min="6" max="6" width="11.5703125" style="429" bestFit="1" customWidth="1"/>
    <col min="7" max="7" width="12.140625" style="429" customWidth="1"/>
    <col min="8" max="8" width="13.140625" style="429" customWidth="1"/>
    <col min="9" max="9" width="13.85546875" style="429" customWidth="1"/>
    <col min="10" max="10" width="2.28515625" style="429" customWidth="1"/>
    <col min="11" max="11" width="12.28515625" style="429" customWidth="1"/>
    <col min="12" max="12" width="12.85546875" style="429" customWidth="1"/>
    <col min="13" max="13" width="3" style="429" customWidth="1"/>
    <col min="14" max="14" width="16.28515625" style="386" bestFit="1" customWidth="1"/>
    <col min="15" max="15" width="13.28515625" style="429" customWidth="1"/>
    <col min="16" max="16384" width="9" style="429"/>
  </cols>
  <sheetData>
    <row r="1" spans="1:14" x14ac:dyDescent="0.25">
      <c r="A1" s="387" t="s">
        <v>726</v>
      </c>
      <c r="B1" s="387"/>
      <c r="F1" s="390"/>
    </row>
    <row r="4" spans="1:14" ht="14.25" customHeight="1" x14ac:dyDescent="0.25">
      <c r="C4" s="785" t="s">
        <v>127</v>
      </c>
      <c r="D4" s="785"/>
      <c r="E4" s="785"/>
      <c r="F4" s="437"/>
      <c r="G4" s="786" t="s">
        <v>21</v>
      </c>
      <c r="H4" s="786"/>
      <c r="I4" s="786"/>
    </row>
    <row r="5" spans="1:14" x14ac:dyDescent="0.25">
      <c r="C5" s="443">
        <f>+'Example 3 Assumptions Summary'!E8</f>
        <v>500000</v>
      </c>
      <c r="D5" s="437" t="s">
        <v>121</v>
      </c>
      <c r="E5" s="437"/>
      <c r="F5" s="437"/>
      <c r="G5" s="429" t="s">
        <v>48</v>
      </c>
      <c r="I5" s="443">
        <f>+C10</f>
        <v>3114443.5687516411</v>
      </c>
    </row>
    <row r="6" spans="1:14" x14ac:dyDescent="0.25">
      <c r="C6" s="444">
        <f>+'Example 3 Assumptions Summary'!E12</f>
        <v>100000</v>
      </c>
      <c r="D6" s="437" t="s">
        <v>122</v>
      </c>
      <c r="E6" s="437"/>
      <c r="F6" s="437"/>
      <c r="G6" s="429" t="s">
        <v>31</v>
      </c>
      <c r="I6" s="531">
        <v>400000</v>
      </c>
      <c r="N6" s="702"/>
    </row>
    <row r="7" spans="1:14" ht="16.5" thickBot="1" x14ac:dyDescent="0.3">
      <c r="C7" s="507">
        <f>+'Example 3 Assumptions Summary'!E10+'Example 3 Assumptions Summary'!E11</f>
        <v>400000</v>
      </c>
      <c r="D7" s="444" t="s">
        <v>123</v>
      </c>
      <c r="E7" s="444"/>
      <c r="F7" s="437"/>
      <c r="G7" s="429" t="s">
        <v>21</v>
      </c>
      <c r="I7" s="508">
        <f>SUM(I5:I6)</f>
        <v>3514443.5687516411</v>
      </c>
    </row>
    <row r="8" spans="1:14" ht="16.5" thickTop="1" x14ac:dyDescent="0.25">
      <c r="C8" s="444">
        <v>9</v>
      </c>
      <c r="D8" s="444" t="s">
        <v>124</v>
      </c>
      <c r="E8" s="444"/>
      <c r="F8" s="437"/>
      <c r="L8" s="532"/>
    </row>
    <row r="9" spans="1:14" x14ac:dyDescent="0.25">
      <c r="C9" s="509">
        <v>0.03</v>
      </c>
      <c r="D9" s="444" t="s">
        <v>125</v>
      </c>
      <c r="E9" s="444"/>
      <c r="F9" s="437"/>
      <c r="L9" s="436"/>
    </row>
    <row r="10" spans="1:14" ht="16.5" thickBot="1" x14ac:dyDescent="0.3">
      <c r="C10" s="533">
        <f>-PV(C9,C8,C7)</f>
        <v>3114443.5687516411</v>
      </c>
      <c r="D10" s="449" t="s">
        <v>126</v>
      </c>
      <c r="E10" s="444"/>
      <c r="F10" s="437"/>
    </row>
    <row r="11" spans="1:14" ht="16.5" thickTop="1" x14ac:dyDescent="0.25">
      <c r="E11" s="437"/>
      <c r="F11" s="437"/>
    </row>
    <row r="12" spans="1:14" x14ac:dyDescent="0.25">
      <c r="C12" s="444"/>
      <c r="D12" s="437"/>
      <c r="E12" s="437"/>
      <c r="F12" s="437"/>
      <c r="L12" s="512"/>
    </row>
    <row r="13" spans="1:14" x14ac:dyDescent="0.25">
      <c r="C13" s="437"/>
      <c r="I13" s="512">
        <f>ROUND(SUM(I18:I28)-I16,0)</f>
        <v>0</v>
      </c>
    </row>
    <row r="14" spans="1:14" ht="33" customHeight="1" x14ac:dyDescent="0.25">
      <c r="B14" s="782" t="s">
        <v>144</v>
      </c>
      <c r="C14" s="782"/>
      <c r="D14" s="782"/>
      <c r="E14" s="782"/>
      <c r="F14" s="782"/>
      <c r="H14" s="778" t="s">
        <v>627</v>
      </c>
      <c r="I14" s="779"/>
    </row>
    <row r="15" spans="1:14" s="423" customFormat="1" ht="15.4" customHeight="1" x14ac:dyDescent="0.25">
      <c r="B15" s="782"/>
      <c r="C15" s="782"/>
      <c r="D15" s="782"/>
      <c r="E15" s="782"/>
      <c r="F15" s="782"/>
      <c r="H15" s="780"/>
      <c r="I15" s="781"/>
      <c r="N15" s="386"/>
    </row>
    <row r="16" spans="1:14" s="423" customFormat="1" ht="47.25" customHeight="1" x14ac:dyDescent="0.25">
      <c r="B16" s="783" t="s">
        <v>7</v>
      </c>
      <c r="C16" s="534" t="s">
        <v>145</v>
      </c>
      <c r="D16" s="517" t="s">
        <v>113</v>
      </c>
      <c r="E16" s="535" t="s">
        <v>34</v>
      </c>
      <c r="F16" s="536" t="s">
        <v>33</v>
      </c>
      <c r="H16" s="460" t="s">
        <v>129</v>
      </c>
      <c r="I16" s="460">
        <f>+I7</f>
        <v>3514443.5687516411</v>
      </c>
    </row>
    <row r="17" spans="1:9" s="423" customFormat="1" ht="19.5" customHeight="1" x14ac:dyDescent="0.25">
      <c r="B17" s="784"/>
      <c r="C17" s="461">
        <f>+C7</f>
        <v>400000</v>
      </c>
      <c r="D17" s="519">
        <f>+C9</f>
        <v>0.03</v>
      </c>
      <c r="E17" s="537"/>
      <c r="F17" s="461"/>
      <c r="H17" s="460" t="s">
        <v>128</v>
      </c>
      <c r="I17" s="538">
        <v>10</v>
      </c>
    </row>
    <row r="18" spans="1:9" ht="16.5" thickBot="1" x14ac:dyDescent="0.3">
      <c r="B18" s="465"/>
      <c r="C18" s="465"/>
      <c r="D18" s="465"/>
      <c r="E18" s="467"/>
      <c r="F18" s="465"/>
      <c r="H18" s="539"/>
      <c r="I18" s="471"/>
    </row>
    <row r="19" spans="1:9" ht="16.5" thickBot="1" x14ac:dyDescent="0.3">
      <c r="B19" s="523" t="str">
        <f>+'Example 3 Assumptions Summary'!E5</f>
        <v>7/1/X1</v>
      </c>
      <c r="C19" s="471">
        <f t="shared" ref="C19:C28" si="0">+$C$17</f>
        <v>400000</v>
      </c>
      <c r="D19" s="465">
        <f>-(+F18*$D$17)</f>
        <v>0</v>
      </c>
      <c r="E19" s="471">
        <f t="shared" ref="E19:E28" si="1">+C19-D19</f>
        <v>400000</v>
      </c>
      <c r="F19" s="540">
        <f>+C10</f>
        <v>3114443.5687516411</v>
      </c>
      <c r="H19" s="470" t="s">
        <v>26</v>
      </c>
      <c r="I19" s="471">
        <f>ROUND(+I16/I17,0)+1</f>
        <v>351445</v>
      </c>
    </row>
    <row r="20" spans="1:9" x14ac:dyDescent="0.25">
      <c r="A20" s="429">
        <v>1</v>
      </c>
      <c r="B20" s="523" t="s">
        <v>204</v>
      </c>
      <c r="C20" s="471">
        <f t="shared" si="0"/>
        <v>400000</v>
      </c>
      <c r="D20" s="471">
        <f t="shared" ref="D20:D28" si="2">+F19*$D$17</f>
        <v>93433.307062549226</v>
      </c>
      <c r="E20" s="471">
        <f t="shared" si="1"/>
        <v>306566.69293745077</v>
      </c>
      <c r="F20" s="471">
        <f t="shared" ref="F20:F27" si="3">+F19-E20</f>
        <v>2807876.8758141901</v>
      </c>
      <c r="H20" s="470" t="s">
        <v>9</v>
      </c>
      <c r="I20" s="471">
        <f>ROUND(+I16/I17,0)+1</f>
        <v>351445</v>
      </c>
    </row>
    <row r="21" spans="1:9" x14ac:dyDescent="0.25">
      <c r="A21" s="429">
        <v>2</v>
      </c>
      <c r="B21" s="523" t="s">
        <v>205</v>
      </c>
      <c r="C21" s="471">
        <f t="shared" si="0"/>
        <v>400000</v>
      </c>
      <c r="D21" s="471">
        <f t="shared" si="2"/>
        <v>84236.306274425704</v>
      </c>
      <c r="E21" s="471">
        <f t="shared" si="1"/>
        <v>315763.6937255743</v>
      </c>
      <c r="F21" s="471">
        <f t="shared" si="3"/>
        <v>2492113.1820886158</v>
      </c>
      <c r="H21" s="539" t="s">
        <v>10</v>
      </c>
      <c r="I21" s="471">
        <f>ROUND(+$I$16/$I$17,0)+1</f>
        <v>351445</v>
      </c>
    </row>
    <row r="22" spans="1:9" x14ac:dyDescent="0.25">
      <c r="A22" s="429">
        <v>3</v>
      </c>
      <c r="B22" s="523" t="s">
        <v>206</v>
      </c>
      <c r="C22" s="471">
        <f t="shared" si="0"/>
        <v>400000</v>
      </c>
      <c r="D22" s="471">
        <f t="shared" si="2"/>
        <v>74763.395462658475</v>
      </c>
      <c r="E22" s="471">
        <f t="shared" si="1"/>
        <v>325236.60453734151</v>
      </c>
      <c r="F22" s="471">
        <f t="shared" si="3"/>
        <v>2166876.5775512746</v>
      </c>
      <c r="H22" s="470" t="s">
        <v>11</v>
      </c>
      <c r="I22" s="471">
        <f>ROUND(+$I$16/$I$17,0)+1</f>
        <v>351445</v>
      </c>
    </row>
    <row r="23" spans="1:9" x14ac:dyDescent="0.25">
      <c r="A23" s="429">
        <v>4</v>
      </c>
      <c r="B23" s="523" t="s">
        <v>207</v>
      </c>
      <c r="C23" s="471">
        <f t="shared" si="0"/>
        <v>400000</v>
      </c>
      <c r="D23" s="471">
        <f t="shared" si="2"/>
        <v>65006.297326538232</v>
      </c>
      <c r="E23" s="471">
        <f t="shared" si="1"/>
        <v>334993.70267346175</v>
      </c>
      <c r="F23" s="471">
        <f t="shared" si="3"/>
        <v>1831882.8748778128</v>
      </c>
      <c r="H23" s="539" t="s">
        <v>12</v>
      </c>
      <c r="I23" s="471">
        <f t="shared" ref="I23:I28" si="4">ROUND(+$I$16/$I$17,0)</f>
        <v>351444</v>
      </c>
    </row>
    <row r="24" spans="1:9" x14ac:dyDescent="0.25">
      <c r="A24" s="429">
        <v>5</v>
      </c>
      <c r="B24" s="523" t="s">
        <v>208</v>
      </c>
      <c r="C24" s="471">
        <f t="shared" si="0"/>
        <v>400000</v>
      </c>
      <c r="D24" s="471">
        <f t="shared" si="2"/>
        <v>54956.486246334382</v>
      </c>
      <c r="E24" s="471">
        <f t="shared" si="1"/>
        <v>345043.51375366561</v>
      </c>
      <c r="F24" s="471">
        <f t="shared" si="3"/>
        <v>1486839.3611241472</v>
      </c>
      <c r="H24" s="470" t="s">
        <v>13</v>
      </c>
      <c r="I24" s="471">
        <f t="shared" si="4"/>
        <v>351444</v>
      </c>
    </row>
    <row r="25" spans="1:9" x14ac:dyDescent="0.25">
      <c r="A25" s="429">
        <v>6</v>
      </c>
      <c r="B25" s="523" t="s">
        <v>209</v>
      </c>
      <c r="C25" s="471">
        <f t="shared" si="0"/>
        <v>400000</v>
      </c>
      <c r="D25" s="471">
        <f t="shared" si="2"/>
        <v>44605.180833724415</v>
      </c>
      <c r="E25" s="471">
        <f t="shared" si="1"/>
        <v>355394.81916627556</v>
      </c>
      <c r="F25" s="471">
        <f t="shared" si="3"/>
        <v>1131444.5419578715</v>
      </c>
      <c r="H25" s="539" t="s">
        <v>14</v>
      </c>
      <c r="I25" s="471">
        <f t="shared" si="4"/>
        <v>351444</v>
      </c>
    </row>
    <row r="26" spans="1:9" x14ac:dyDescent="0.25">
      <c r="A26" s="429">
        <v>7</v>
      </c>
      <c r="B26" s="523" t="s">
        <v>210</v>
      </c>
      <c r="C26" s="471">
        <f t="shared" si="0"/>
        <v>400000</v>
      </c>
      <c r="D26" s="471">
        <f t="shared" si="2"/>
        <v>33943.336258736148</v>
      </c>
      <c r="E26" s="471">
        <f t="shared" si="1"/>
        <v>366056.66374126385</v>
      </c>
      <c r="F26" s="471">
        <f t="shared" si="3"/>
        <v>765387.87821660773</v>
      </c>
      <c r="H26" s="470" t="s">
        <v>15</v>
      </c>
      <c r="I26" s="471">
        <f t="shared" si="4"/>
        <v>351444</v>
      </c>
    </row>
    <row r="27" spans="1:9" x14ac:dyDescent="0.25">
      <c r="A27" s="429">
        <v>8</v>
      </c>
      <c r="B27" s="523" t="s">
        <v>211</v>
      </c>
      <c r="C27" s="471">
        <f t="shared" si="0"/>
        <v>400000</v>
      </c>
      <c r="D27" s="471">
        <f t="shared" si="2"/>
        <v>22961.636346498231</v>
      </c>
      <c r="E27" s="471">
        <f t="shared" si="1"/>
        <v>377038.36365350179</v>
      </c>
      <c r="F27" s="471">
        <f t="shared" si="3"/>
        <v>388349.51456310594</v>
      </c>
      <c r="H27" s="539" t="s">
        <v>16</v>
      </c>
      <c r="I27" s="471">
        <f t="shared" si="4"/>
        <v>351444</v>
      </c>
    </row>
    <row r="28" spans="1:9" x14ac:dyDescent="0.25">
      <c r="A28" s="429">
        <v>9</v>
      </c>
      <c r="B28" s="525" t="s">
        <v>212</v>
      </c>
      <c r="C28" s="477">
        <f t="shared" si="0"/>
        <v>400000</v>
      </c>
      <c r="D28" s="477">
        <f t="shared" si="2"/>
        <v>11650.485436893177</v>
      </c>
      <c r="E28" s="477">
        <f t="shared" si="1"/>
        <v>388349.51456310682</v>
      </c>
      <c r="F28" s="541">
        <f>ROUND(+F27-E28,0)</f>
        <v>0</v>
      </c>
      <c r="H28" s="480" t="s">
        <v>214</v>
      </c>
      <c r="I28" s="477">
        <f t="shared" si="4"/>
        <v>351444</v>
      </c>
    </row>
    <row r="29" spans="1:9" x14ac:dyDescent="0.25">
      <c r="C29" s="436"/>
      <c r="D29" s="436"/>
      <c r="E29" s="436"/>
      <c r="H29" s="776"/>
      <c r="I29" s="776"/>
    </row>
    <row r="30" spans="1:9" x14ac:dyDescent="0.25">
      <c r="C30" s="436"/>
      <c r="D30" s="436"/>
      <c r="E30" s="436"/>
      <c r="H30" s="777"/>
      <c r="I30" s="777"/>
    </row>
    <row r="31" spans="1:9" x14ac:dyDescent="0.25">
      <c r="C31" s="436"/>
      <c r="D31" s="436"/>
      <c r="E31" s="436"/>
    </row>
    <row r="32" spans="1:9" x14ac:dyDescent="0.25">
      <c r="C32" s="436"/>
      <c r="D32" s="436"/>
      <c r="E32" s="436"/>
    </row>
    <row r="33" spans="3:5" x14ac:dyDescent="0.25">
      <c r="C33" s="436"/>
      <c r="D33" s="436"/>
      <c r="E33" s="436"/>
    </row>
    <row r="34" spans="3:5" x14ac:dyDescent="0.25">
      <c r="C34" s="436"/>
      <c r="D34" s="436"/>
      <c r="E34" s="436"/>
    </row>
    <row r="35" spans="3:5" x14ac:dyDescent="0.25">
      <c r="C35" s="436"/>
      <c r="D35" s="436"/>
      <c r="E35" s="436"/>
    </row>
    <row r="36" spans="3:5" x14ac:dyDescent="0.25">
      <c r="C36" s="436"/>
      <c r="D36" s="436"/>
      <c r="E36" s="436"/>
    </row>
    <row r="37" spans="3:5" x14ac:dyDescent="0.25">
      <c r="C37" s="436"/>
      <c r="D37" s="436"/>
      <c r="E37" s="436"/>
    </row>
    <row r="38" spans="3:5" x14ac:dyDescent="0.25">
      <c r="C38" s="436"/>
      <c r="D38" s="436"/>
      <c r="E38" s="436"/>
    </row>
    <row r="39" spans="3:5" x14ac:dyDescent="0.25">
      <c r="C39" s="436"/>
      <c r="D39" s="436"/>
      <c r="E39" s="436"/>
    </row>
    <row r="40" spans="3:5" x14ac:dyDescent="0.25">
      <c r="C40" s="436"/>
      <c r="D40" s="436"/>
      <c r="E40" s="436"/>
    </row>
    <row r="41" spans="3:5" x14ac:dyDescent="0.25">
      <c r="C41" s="436"/>
      <c r="D41" s="436"/>
      <c r="E41" s="436"/>
    </row>
    <row r="42" spans="3:5" x14ac:dyDescent="0.25">
      <c r="C42" s="436"/>
      <c r="D42" s="436"/>
      <c r="E42" s="436"/>
    </row>
  </sheetData>
  <mergeCells count="6">
    <mergeCell ref="H29:I30"/>
    <mergeCell ref="H14:I15"/>
    <mergeCell ref="B14:F15"/>
    <mergeCell ref="B16:B17"/>
    <mergeCell ref="C4:E4"/>
    <mergeCell ref="G4:I4"/>
  </mergeCells>
  <pageMargins left="0.7" right="0.7" top="0.75" bottom="0.75" header="0.3" footer="0.3"/>
  <pageSetup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9" defaultRowHeight="15.75" x14ac:dyDescent="0.25"/>
  <cols>
    <col min="1" max="1" width="12.140625" style="498" customWidth="1"/>
    <col min="2" max="2" width="5.85546875" style="498" customWidth="1"/>
    <col min="3" max="3" width="5.5703125" style="389" customWidth="1"/>
    <col min="4" max="4" width="46.7109375" style="389" customWidth="1"/>
    <col min="5" max="6" width="11.5703125" style="388" bestFit="1" customWidth="1"/>
    <col min="7" max="7" width="4.85546875" style="389" customWidth="1"/>
    <col min="8" max="8" width="5.5703125" style="389" customWidth="1"/>
    <col min="9" max="9" width="45" style="389" customWidth="1"/>
    <col min="10" max="11" width="13.140625" style="388" bestFit="1" customWidth="1"/>
    <col min="12" max="12" width="4.7109375" style="389" customWidth="1"/>
    <col min="13" max="13" width="5.5703125" style="389" customWidth="1"/>
    <col min="14" max="14" width="48.85546875" style="389" customWidth="1"/>
    <col min="15" max="16" width="10.85546875" style="388" bestFit="1" customWidth="1"/>
    <col min="17" max="16384" width="9" style="389"/>
  </cols>
  <sheetData>
    <row r="1" spans="1:17" ht="14.65" customHeight="1" x14ac:dyDescent="0.25">
      <c r="A1" s="732" t="s">
        <v>159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</row>
    <row r="2" spans="1:17" x14ac:dyDescent="0.25">
      <c r="A2" s="498" t="s">
        <v>726</v>
      </c>
      <c r="I2" s="390"/>
    </row>
    <row r="3" spans="1:17" x14ac:dyDescent="0.25">
      <c r="A3" s="389"/>
      <c r="B3" s="389"/>
      <c r="C3" s="393"/>
      <c r="D3" s="393"/>
      <c r="E3" s="392"/>
      <c r="F3" s="392"/>
      <c r="G3" s="393"/>
      <c r="H3" s="393"/>
      <c r="I3" s="393"/>
      <c r="J3" s="392"/>
      <c r="K3" s="392"/>
      <c r="L3" s="393"/>
      <c r="M3" s="393"/>
      <c r="N3" s="393"/>
      <c r="O3" s="392"/>
      <c r="P3" s="392"/>
      <c r="Q3" s="393"/>
    </row>
    <row r="4" spans="1:17" ht="15.75" customHeight="1" x14ac:dyDescent="0.25">
      <c r="A4" s="391"/>
      <c r="B4" s="391"/>
      <c r="C4" s="737" t="s">
        <v>19</v>
      </c>
      <c r="D4" s="738"/>
      <c r="E4" s="738"/>
      <c r="F4" s="739"/>
      <c r="G4" s="393"/>
      <c r="H4" s="737" t="s">
        <v>818</v>
      </c>
      <c r="I4" s="738"/>
      <c r="J4" s="738"/>
      <c r="K4" s="739"/>
      <c r="L4" s="393"/>
      <c r="M4" s="737" t="s">
        <v>20</v>
      </c>
      <c r="N4" s="738"/>
      <c r="O4" s="738"/>
      <c r="P4" s="739"/>
      <c r="Q4" s="393"/>
    </row>
    <row r="5" spans="1:17" x14ac:dyDescent="0.25">
      <c r="A5" s="391"/>
      <c r="B5" s="391"/>
      <c r="C5" s="397"/>
      <c r="D5" s="397"/>
      <c r="E5" s="395" t="s">
        <v>0</v>
      </c>
      <c r="F5" s="395" t="s">
        <v>1</v>
      </c>
      <c r="G5" s="393"/>
      <c r="H5" s="397"/>
      <c r="I5" s="397"/>
      <c r="J5" s="395" t="s">
        <v>0</v>
      </c>
      <c r="K5" s="395" t="s">
        <v>1</v>
      </c>
      <c r="L5" s="393"/>
      <c r="M5" s="397"/>
      <c r="N5" s="397"/>
      <c r="O5" s="395" t="s">
        <v>0</v>
      </c>
      <c r="P5" s="395" t="s">
        <v>1</v>
      </c>
      <c r="Q5" s="393"/>
    </row>
    <row r="6" spans="1:17" ht="14.25" customHeight="1" x14ac:dyDescent="0.25">
      <c r="A6" s="398" t="s">
        <v>26</v>
      </c>
      <c r="B6" s="422"/>
      <c r="C6" s="405"/>
      <c r="E6" s="389"/>
      <c r="F6" s="389"/>
      <c r="J6" s="389"/>
      <c r="K6" s="389"/>
      <c r="O6" s="409"/>
      <c r="P6" s="402"/>
      <c r="Q6" s="393"/>
    </row>
    <row r="7" spans="1:17" ht="14.65" customHeight="1" x14ac:dyDescent="0.25">
      <c r="A7" s="422" t="s">
        <v>132</v>
      </c>
      <c r="B7" s="422"/>
      <c r="C7" s="389" t="s">
        <v>2</v>
      </c>
      <c r="E7" s="409">
        <f>+'Ex. 3 Calcs-District'!C5</f>
        <v>500000</v>
      </c>
      <c r="F7" s="409"/>
      <c r="G7" s="393"/>
      <c r="I7" s="389" t="s">
        <v>36</v>
      </c>
      <c r="L7" s="393"/>
      <c r="M7" s="404" t="str">
        <f t="shared" ref="M7:P12" si="0">C7</f>
        <v>Cash</v>
      </c>
      <c r="O7" s="402">
        <f t="shared" si="0"/>
        <v>500000</v>
      </c>
      <c r="P7" s="402"/>
      <c r="Q7" s="393"/>
    </row>
    <row r="8" spans="1:17" ht="14.65" customHeight="1" x14ac:dyDescent="0.25">
      <c r="A8" s="422"/>
      <c r="B8" s="422"/>
      <c r="C8" s="389" t="s">
        <v>48</v>
      </c>
      <c r="E8" s="409">
        <f>+'Ex. 3 Calcs-District'!I5</f>
        <v>3114443.5687516411</v>
      </c>
      <c r="F8" s="409"/>
      <c r="G8" s="393"/>
      <c r="L8" s="393"/>
      <c r="M8" s="405" t="str">
        <f t="shared" si="0"/>
        <v>Lease receivable</v>
      </c>
      <c r="O8" s="402">
        <f t="shared" si="0"/>
        <v>3114443.5687516411</v>
      </c>
      <c r="P8" s="402"/>
      <c r="Q8" s="393"/>
    </row>
    <row r="9" spans="1:17" ht="14.65" customHeight="1" x14ac:dyDescent="0.25">
      <c r="A9" s="422"/>
      <c r="B9" s="422"/>
      <c r="C9" s="406"/>
      <c r="D9" s="389" t="s">
        <v>133</v>
      </c>
      <c r="E9" s="409"/>
      <c r="F9" s="409">
        <f>+'Ex. 3 Calcs-District'!C6</f>
        <v>100000</v>
      </c>
      <c r="G9" s="393"/>
      <c r="L9" s="393"/>
      <c r="M9" s="405"/>
      <c r="N9" s="389" t="str">
        <f t="shared" si="0"/>
        <v>Unearned revenue - charges for services</v>
      </c>
      <c r="O9" s="402"/>
      <c r="P9" s="402">
        <f t="shared" si="0"/>
        <v>100000</v>
      </c>
      <c r="Q9" s="393"/>
    </row>
    <row r="10" spans="1:17" ht="14.65" customHeight="1" x14ac:dyDescent="0.25">
      <c r="A10" s="422"/>
      <c r="B10" s="422"/>
      <c r="C10" s="406"/>
      <c r="D10" s="389" t="s">
        <v>21</v>
      </c>
      <c r="E10" s="409"/>
      <c r="F10" s="409">
        <f>+'Ex. 3 Calcs-District'!I7</f>
        <v>3514443.5687516411</v>
      </c>
      <c r="G10" s="393"/>
      <c r="L10" s="393"/>
      <c r="M10" s="405"/>
      <c r="N10" s="389" t="str">
        <f t="shared" si="0"/>
        <v>Deferred inflow of resources</v>
      </c>
      <c r="O10" s="402"/>
      <c r="P10" s="402">
        <f t="shared" si="0"/>
        <v>3514443.5687516411</v>
      </c>
      <c r="Q10" s="393"/>
    </row>
    <row r="11" spans="1:17" ht="14.65" customHeight="1" x14ac:dyDescent="0.25">
      <c r="A11" s="422"/>
      <c r="B11" s="422"/>
      <c r="C11" s="406" t="s">
        <v>134</v>
      </c>
      <c r="E11" s="409"/>
      <c r="F11" s="409"/>
      <c r="G11" s="393"/>
      <c r="L11" s="393"/>
      <c r="M11" s="405" t="str">
        <f t="shared" si="0"/>
        <v xml:space="preserve">[To record inception of lease contract and receipt of </v>
      </c>
      <c r="O11" s="402"/>
      <c r="P11" s="402"/>
      <c r="Q11" s="393"/>
    </row>
    <row r="12" spans="1:17" ht="14.65" customHeight="1" x14ac:dyDescent="0.25">
      <c r="A12" s="422"/>
      <c r="B12" s="422"/>
      <c r="C12" s="406" t="s">
        <v>135</v>
      </c>
      <c r="E12" s="409"/>
      <c r="F12" s="409"/>
      <c r="G12" s="393"/>
      <c r="L12" s="393"/>
      <c r="M12" s="405" t="str">
        <f t="shared" si="0"/>
        <v>prepayment for operating component of annual payment]</v>
      </c>
      <c r="O12" s="402"/>
      <c r="P12" s="402"/>
      <c r="Q12" s="393"/>
    </row>
    <row r="13" spans="1:17" ht="14.65" customHeight="1" x14ac:dyDescent="0.25">
      <c r="A13" s="422"/>
      <c r="B13" s="422"/>
      <c r="C13" s="406"/>
      <c r="E13" s="409"/>
      <c r="F13" s="409"/>
      <c r="G13" s="393"/>
      <c r="L13" s="393"/>
      <c r="M13" s="405"/>
      <c r="O13" s="402"/>
      <c r="P13" s="402"/>
      <c r="Q13" s="393"/>
    </row>
    <row r="14" spans="1:17" ht="14.65" customHeight="1" x14ac:dyDescent="0.25">
      <c r="A14" s="422"/>
      <c r="B14" s="422"/>
      <c r="C14" s="406"/>
      <c r="E14" s="409"/>
      <c r="F14" s="409"/>
      <c r="G14" s="393"/>
      <c r="L14" s="393"/>
      <c r="M14" s="405"/>
      <c r="O14" s="402"/>
      <c r="P14" s="402"/>
      <c r="Q14" s="393"/>
    </row>
    <row r="15" spans="1:17" ht="14.65" customHeight="1" x14ac:dyDescent="0.25">
      <c r="A15" s="422" t="s">
        <v>141</v>
      </c>
      <c r="B15" s="422"/>
      <c r="C15" s="389" t="str">
        <f>+D9</f>
        <v>Unearned revenue - charges for services</v>
      </c>
      <c r="E15" s="409">
        <f>+F9</f>
        <v>100000</v>
      </c>
      <c r="F15" s="409"/>
      <c r="G15" s="393"/>
      <c r="I15" s="389" t="s">
        <v>36</v>
      </c>
      <c r="L15" s="393"/>
      <c r="M15" s="404" t="str">
        <f t="shared" ref="M15:P20" si="1">C15</f>
        <v>Unearned revenue - charges for services</v>
      </c>
      <c r="O15" s="402">
        <f t="shared" si="1"/>
        <v>100000</v>
      </c>
      <c r="P15" s="402"/>
      <c r="Q15" s="393"/>
    </row>
    <row r="16" spans="1:17" ht="14.65" customHeight="1" x14ac:dyDescent="0.25">
      <c r="A16" s="422"/>
      <c r="B16" s="422"/>
      <c r="C16" s="389" t="str">
        <f>+D10</f>
        <v>Deferred inflow of resources</v>
      </c>
      <c r="E16" s="409">
        <f>+'Ex. 3 Calcs-District'!I19</f>
        <v>351445</v>
      </c>
      <c r="F16" s="409"/>
      <c r="G16" s="393"/>
      <c r="L16" s="393"/>
      <c r="M16" s="404" t="str">
        <f t="shared" si="1"/>
        <v>Deferred inflow of resources</v>
      </c>
      <c r="O16" s="402">
        <f t="shared" si="1"/>
        <v>351445</v>
      </c>
      <c r="P16" s="402"/>
      <c r="Q16" s="393"/>
    </row>
    <row r="17" spans="1:17" ht="14.65" customHeight="1" x14ac:dyDescent="0.25">
      <c r="A17" s="422"/>
      <c r="B17" s="422"/>
      <c r="C17" s="406"/>
      <c r="D17" s="389" t="s">
        <v>50</v>
      </c>
      <c r="E17" s="409"/>
      <c r="F17" s="409">
        <f>+E16</f>
        <v>351445</v>
      </c>
      <c r="G17" s="393"/>
      <c r="L17" s="393"/>
      <c r="M17" s="405"/>
      <c r="N17" s="389" t="str">
        <f t="shared" si="1"/>
        <v>Lease revenue</v>
      </c>
      <c r="O17" s="402"/>
      <c r="P17" s="402">
        <f t="shared" si="1"/>
        <v>351445</v>
      </c>
      <c r="Q17" s="393"/>
    </row>
    <row r="18" spans="1:17" s="415" customFormat="1" x14ac:dyDescent="0.25">
      <c r="A18" s="485"/>
      <c r="B18" s="485"/>
      <c r="C18" s="405"/>
      <c r="D18" s="404" t="s">
        <v>773</v>
      </c>
      <c r="E18" s="409"/>
      <c r="F18" s="409">
        <f>+E15</f>
        <v>100000</v>
      </c>
      <c r="G18" s="393"/>
      <c r="H18" s="405"/>
      <c r="I18" s="404"/>
      <c r="J18" s="409"/>
      <c r="K18" s="409"/>
      <c r="L18" s="393"/>
      <c r="M18" s="528"/>
      <c r="N18" s="404" t="str">
        <f t="shared" si="1"/>
        <v>Revenue - charges for services</v>
      </c>
      <c r="O18" s="409"/>
      <c r="P18" s="490">
        <f t="shared" si="1"/>
        <v>100000</v>
      </c>
      <c r="Q18" s="393"/>
    </row>
    <row r="19" spans="1:17" s="415" customFormat="1" x14ac:dyDescent="0.25">
      <c r="A19" s="485"/>
      <c r="B19" s="485"/>
      <c r="C19" s="405" t="s">
        <v>136</v>
      </c>
      <c r="D19" s="404"/>
      <c r="E19" s="409"/>
      <c r="F19" s="409"/>
      <c r="G19" s="393"/>
      <c r="H19" s="405"/>
      <c r="I19" s="404"/>
      <c r="J19" s="409"/>
      <c r="K19" s="409"/>
      <c r="L19" s="393"/>
      <c r="M19" s="528" t="str">
        <f t="shared" si="1"/>
        <v xml:space="preserve">[To record amortization of deferred inflow of resources </v>
      </c>
      <c r="N19" s="404"/>
      <c r="O19" s="409"/>
      <c r="P19" s="490"/>
      <c r="Q19" s="393"/>
    </row>
    <row r="20" spans="1:17" s="415" customFormat="1" x14ac:dyDescent="0.25">
      <c r="A20" s="485"/>
      <c r="B20" s="485"/>
      <c r="C20" s="405" t="s">
        <v>137</v>
      </c>
      <c r="D20" s="404"/>
      <c r="E20" s="409"/>
      <c r="F20" s="409"/>
      <c r="G20" s="393"/>
      <c r="H20" s="405"/>
      <c r="I20" s="404"/>
      <c r="J20" s="409"/>
      <c r="K20" s="409"/>
      <c r="L20" s="393"/>
      <c r="M20" s="528" t="str">
        <f t="shared" si="1"/>
        <v>and recognition of revenue for year]</v>
      </c>
      <c r="N20" s="404"/>
      <c r="O20" s="409"/>
      <c r="P20" s="490"/>
      <c r="Q20" s="393"/>
    </row>
    <row r="21" spans="1:17" s="415" customFormat="1" x14ac:dyDescent="0.25">
      <c r="A21" s="485"/>
      <c r="B21" s="485"/>
      <c r="C21" s="405"/>
      <c r="D21" s="404"/>
      <c r="E21" s="409"/>
      <c r="F21" s="409"/>
      <c r="G21" s="393"/>
      <c r="H21" s="405"/>
      <c r="I21" s="404"/>
      <c r="J21" s="409"/>
      <c r="K21" s="409"/>
      <c r="L21" s="393"/>
      <c r="M21" s="528"/>
      <c r="N21" s="404"/>
      <c r="O21" s="409"/>
      <c r="P21" s="490"/>
      <c r="Q21" s="393"/>
    </row>
    <row r="22" spans="1:17" s="415" customFormat="1" x14ac:dyDescent="0.25">
      <c r="A22" s="485"/>
      <c r="B22" s="485"/>
      <c r="C22" s="405"/>
      <c r="D22" s="404"/>
      <c r="E22" s="409"/>
      <c r="F22" s="409"/>
      <c r="G22" s="393"/>
      <c r="H22" s="405"/>
      <c r="I22" s="404"/>
      <c r="J22" s="409"/>
      <c r="K22" s="409"/>
      <c r="L22" s="393"/>
      <c r="M22" s="528"/>
      <c r="N22" s="404"/>
      <c r="O22" s="409"/>
      <c r="P22" s="490"/>
      <c r="Q22" s="393"/>
    </row>
    <row r="23" spans="1:17" s="415" customFormat="1" x14ac:dyDescent="0.25">
      <c r="A23" s="422" t="s">
        <v>142</v>
      </c>
      <c r="B23" s="422"/>
      <c r="C23" s="405"/>
      <c r="D23" s="389" t="s">
        <v>36</v>
      </c>
      <c r="E23" s="409"/>
      <c r="F23" s="409"/>
      <c r="G23" s="393"/>
      <c r="H23" s="404" t="s">
        <v>27</v>
      </c>
      <c r="I23" s="404"/>
      <c r="J23" s="409">
        <f>+K24</f>
        <v>93433.307062549226</v>
      </c>
      <c r="K23" s="409"/>
      <c r="L23" s="393"/>
      <c r="M23" s="403" t="str">
        <f t="shared" ref="M23" si="2">H23</f>
        <v>Interest receivable</v>
      </c>
      <c r="N23" s="404"/>
      <c r="O23" s="409">
        <f t="shared" ref="O23" si="3">J23</f>
        <v>93433.307062549226</v>
      </c>
      <c r="P23" s="490"/>
      <c r="Q23" s="393"/>
    </row>
    <row r="24" spans="1:17" s="415" customFormat="1" x14ac:dyDescent="0.25">
      <c r="A24" s="485"/>
      <c r="B24" s="485"/>
      <c r="C24" s="405"/>
      <c r="D24" s="404"/>
      <c r="E24" s="409"/>
      <c r="F24" s="409"/>
      <c r="G24" s="393"/>
      <c r="H24" s="405"/>
      <c r="I24" s="404" t="s">
        <v>22</v>
      </c>
      <c r="J24" s="409"/>
      <c r="K24" s="409">
        <f>+'Ex. 3 Calcs-District'!D20</f>
        <v>93433.307062549226</v>
      </c>
      <c r="L24" s="393"/>
      <c r="M24" s="403"/>
      <c r="N24" s="404" t="str">
        <f t="shared" ref="N24" si="4">I24</f>
        <v>Interest income</v>
      </c>
      <c r="O24" s="409"/>
      <c r="P24" s="490">
        <f t="shared" ref="P24" si="5">K24</f>
        <v>93433.307062549226</v>
      </c>
      <c r="Q24" s="393"/>
    </row>
    <row r="25" spans="1:17" s="415" customFormat="1" ht="14.25" customHeight="1" x14ac:dyDescent="0.25">
      <c r="A25" s="485"/>
      <c r="B25" s="485"/>
      <c r="D25" s="404"/>
      <c r="E25" s="409"/>
      <c r="F25" s="409"/>
      <c r="G25" s="393"/>
      <c r="H25" s="405" t="s">
        <v>140</v>
      </c>
      <c r="I25" s="405"/>
      <c r="J25" s="409"/>
      <c r="K25" s="409"/>
      <c r="L25" s="393"/>
      <c r="M25" s="484" t="str">
        <f t="shared" ref="M25" si="6">H25</f>
        <v>[To record accrued interest receivable on lease]</v>
      </c>
      <c r="N25" s="405"/>
      <c r="O25" s="409"/>
      <c r="P25" s="490"/>
      <c r="Q25" s="393"/>
    </row>
    <row r="26" spans="1:17" s="415" customFormat="1" x14ac:dyDescent="0.25">
      <c r="A26" s="485"/>
      <c r="B26" s="485"/>
      <c r="C26" s="405"/>
      <c r="D26" s="404"/>
      <c r="E26" s="409"/>
      <c r="F26" s="409"/>
      <c r="G26" s="393"/>
      <c r="H26" s="405"/>
      <c r="I26" s="404"/>
      <c r="J26" s="409"/>
      <c r="K26" s="409"/>
      <c r="L26" s="393"/>
      <c r="M26" s="528"/>
      <c r="N26" s="404"/>
      <c r="O26" s="409"/>
      <c r="P26" s="490"/>
      <c r="Q26" s="393"/>
    </row>
    <row r="27" spans="1:17" s="415" customFormat="1" x14ac:dyDescent="0.25">
      <c r="A27" s="485"/>
      <c r="B27" s="485"/>
      <c r="C27" s="405"/>
      <c r="D27" s="404"/>
      <c r="E27" s="409"/>
      <c r="F27" s="409"/>
      <c r="G27" s="393"/>
      <c r="H27" s="405"/>
      <c r="I27" s="404"/>
      <c r="J27" s="409"/>
      <c r="K27" s="409"/>
      <c r="L27" s="393"/>
      <c r="M27" s="528"/>
      <c r="N27" s="404"/>
      <c r="O27" s="409"/>
      <c r="P27" s="490"/>
      <c r="Q27" s="393"/>
    </row>
    <row r="28" spans="1:17" s="415" customFormat="1" x14ac:dyDescent="0.25">
      <c r="A28" s="422" t="s">
        <v>143</v>
      </c>
      <c r="B28" s="422"/>
      <c r="C28" s="405"/>
      <c r="D28" s="389" t="s">
        <v>36</v>
      </c>
      <c r="E28" s="409"/>
      <c r="F28" s="409"/>
      <c r="G28" s="393"/>
      <c r="H28" s="404" t="s">
        <v>24</v>
      </c>
      <c r="I28" s="404"/>
      <c r="J28" s="409">
        <f>+K29+K30</f>
        <v>864500</v>
      </c>
      <c r="K28" s="409"/>
      <c r="L28" s="393"/>
      <c r="M28" s="403" t="str">
        <f t="shared" ref="M28:P31" si="7">H28</f>
        <v>Depreciation expense</v>
      </c>
      <c r="N28" s="404"/>
      <c r="O28" s="409">
        <f t="shared" si="7"/>
        <v>864500</v>
      </c>
      <c r="P28" s="490"/>
      <c r="Q28" s="393"/>
    </row>
    <row r="29" spans="1:17" s="415" customFormat="1" x14ac:dyDescent="0.25">
      <c r="A29" s="485"/>
      <c r="B29" s="485"/>
      <c r="C29" s="405"/>
      <c r="D29" s="404"/>
      <c r="E29" s="409"/>
      <c r="F29" s="409"/>
      <c r="G29" s="393"/>
      <c r="H29" s="405"/>
      <c r="I29" s="404" t="s">
        <v>25</v>
      </c>
      <c r="J29" s="409"/>
      <c r="K29" s="409">
        <f>+'Example 3 Assumptions Summary'!E15</f>
        <v>800000</v>
      </c>
      <c r="L29" s="393"/>
      <c r="M29" s="403"/>
      <c r="N29" s="404" t="str">
        <f t="shared" si="7"/>
        <v>Accumulated depreciation - building</v>
      </c>
      <c r="O29" s="409"/>
      <c r="P29" s="490">
        <f t="shared" si="7"/>
        <v>800000</v>
      </c>
      <c r="Q29" s="393"/>
    </row>
    <row r="30" spans="1:17" s="415" customFormat="1" x14ac:dyDescent="0.25">
      <c r="A30" s="529"/>
      <c r="B30" s="529"/>
      <c r="E30" s="445"/>
      <c r="F30" s="445"/>
      <c r="I30" s="415" t="s">
        <v>138</v>
      </c>
      <c r="J30" s="445"/>
      <c r="K30" s="445">
        <f>+'Example 3 Assumptions Summary'!E16</f>
        <v>64500</v>
      </c>
      <c r="N30" s="415" t="str">
        <f t="shared" si="7"/>
        <v>Accumulated depreciation - furniture &amp; fixtures</v>
      </c>
      <c r="O30" s="445"/>
      <c r="P30" s="490">
        <f t="shared" si="7"/>
        <v>64500</v>
      </c>
    </row>
    <row r="31" spans="1:17" s="415" customFormat="1" ht="14.25" customHeight="1" x14ac:dyDescent="0.25">
      <c r="A31" s="485"/>
      <c r="B31" s="485"/>
      <c r="D31" s="404"/>
      <c r="E31" s="409"/>
      <c r="F31" s="409"/>
      <c r="G31" s="393"/>
      <c r="H31" s="405" t="s">
        <v>139</v>
      </c>
      <c r="I31" s="405"/>
      <c r="J31" s="409"/>
      <c r="K31" s="409"/>
      <c r="L31" s="393"/>
      <c r="M31" s="484" t="str">
        <f t="shared" si="7"/>
        <v>[To record annual depreciation of underlying capital assets]</v>
      </c>
      <c r="N31" s="405"/>
      <c r="O31" s="409"/>
      <c r="P31" s="490"/>
      <c r="Q31" s="393"/>
    </row>
    <row r="32" spans="1:17" s="415" customFormat="1" ht="14.25" customHeight="1" x14ac:dyDescent="0.25">
      <c r="A32" s="485"/>
      <c r="B32" s="485"/>
      <c r="D32" s="404"/>
      <c r="E32" s="409"/>
      <c r="F32" s="409"/>
      <c r="G32" s="393"/>
      <c r="H32" s="405"/>
      <c r="I32" s="405"/>
      <c r="J32" s="409"/>
      <c r="K32" s="409"/>
      <c r="L32" s="393"/>
      <c r="M32" s="484"/>
      <c r="N32" s="405"/>
      <c r="O32" s="409"/>
      <c r="P32" s="490"/>
      <c r="Q32" s="393"/>
    </row>
    <row r="33" spans="1:40" s="415" customFormat="1" ht="14.25" customHeight="1" x14ac:dyDescent="0.25">
      <c r="A33" s="485"/>
      <c r="B33" s="485"/>
      <c r="D33" s="404"/>
      <c r="E33" s="409"/>
      <c r="F33" s="409"/>
      <c r="G33" s="393"/>
      <c r="H33" s="405"/>
      <c r="I33" s="405"/>
      <c r="J33" s="409"/>
      <c r="K33" s="409"/>
      <c r="L33" s="393"/>
      <c r="M33" s="484"/>
      <c r="N33" s="405"/>
      <c r="O33" s="409"/>
      <c r="P33" s="490"/>
      <c r="Q33" s="393"/>
    </row>
    <row r="34" spans="1:40" ht="14.65" customHeight="1" x14ac:dyDescent="0.25">
      <c r="A34" s="398" t="s">
        <v>146</v>
      </c>
      <c r="B34" s="422"/>
      <c r="C34" s="405"/>
      <c r="E34" s="409"/>
      <c r="F34" s="409"/>
      <c r="G34" s="393"/>
      <c r="H34" s="404"/>
      <c r="I34" s="404"/>
      <c r="J34" s="409"/>
      <c r="K34" s="409"/>
      <c r="L34" s="393"/>
      <c r="M34" s="404"/>
      <c r="N34" s="404"/>
      <c r="O34" s="409"/>
      <c r="P34" s="402"/>
      <c r="Q34" s="393"/>
    </row>
    <row r="35" spans="1:40" ht="14.65" customHeight="1" x14ac:dyDescent="0.25">
      <c r="A35" s="422" t="s">
        <v>147</v>
      </c>
      <c r="B35" s="422"/>
      <c r="C35" s="389" t="s">
        <v>2</v>
      </c>
      <c r="E35" s="409">
        <f>+'Ex. 3 Calcs-District'!C5</f>
        <v>500000</v>
      </c>
      <c r="F35" s="409"/>
      <c r="G35" s="393"/>
      <c r="H35" s="389" t="str">
        <f>+D37</f>
        <v>Interest income</v>
      </c>
      <c r="J35" s="388">
        <f>+F37</f>
        <v>93433.307062549226</v>
      </c>
      <c r="L35" s="393"/>
      <c r="M35" s="404" t="str">
        <f t="shared" ref="M35" si="8">C35</f>
        <v>Cash</v>
      </c>
      <c r="O35" s="402">
        <f t="shared" ref="O35" si="9">E35</f>
        <v>500000</v>
      </c>
      <c r="P35" s="402"/>
      <c r="Q35" s="393"/>
    </row>
    <row r="36" spans="1:40" ht="14.65" customHeight="1" x14ac:dyDescent="0.25">
      <c r="A36" s="422"/>
      <c r="B36" s="422"/>
      <c r="C36" s="406"/>
      <c r="D36" s="389" t="s">
        <v>133</v>
      </c>
      <c r="E36" s="409"/>
      <c r="F36" s="409">
        <f>+'Ex. 3 Calcs-District'!C6</f>
        <v>100000</v>
      </c>
      <c r="G36" s="393"/>
      <c r="I36" s="389" t="s">
        <v>27</v>
      </c>
      <c r="K36" s="388">
        <f>+J23</f>
        <v>93433.307062549226</v>
      </c>
      <c r="L36" s="393"/>
      <c r="M36" s="405"/>
      <c r="N36" s="389" t="str">
        <f t="shared" ref="N36:N38" si="10">D36</f>
        <v>Unearned revenue - charges for services</v>
      </c>
      <c r="O36" s="402"/>
      <c r="P36" s="402">
        <f t="shared" ref="P36:P38" si="11">F36</f>
        <v>100000</v>
      </c>
      <c r="Q36" s="393"/>
    </row>
    <row r="37" spans="1:40" ht="14.65" customHeight="1" x14ac:dyDescent="0.25">
      <c r="A37" s="422"/>
      <c r="B37" s="422"/>
      <c r="C37" s="406"/>
      <c r="D37" s="389" t="s">
        <v>22</v>
      </c>
      <c r="E37" s="409"/>
      <c r="F37" s="409">
        <f>+'Ex. 3 Calcs-District'!D20</f>
        <v>93433.307062549226</v>
      </c>
      <c r="G37" s="393"/>
      <c r="H37" s="709" t="s">
        <v>872</v>
      </c>
      <c r="L37" s="393"/>
      <c r="M37" s="405"/>
      <c r="N37" s="389" t="str">
        <f>+I36</f>
        <v>Interest receivable</v>
      </c>
      <c r="O37" s="402"/>
      <c r="P37" s="402">
        <f>+K36</f>
        <v>93433.307062549226</v>
      </c>
      <c r="Q37" s="393"/>
    </row>
    <row r="38" spans="1:40" ht="14.65" customHeight="1" x14ac:dyDescent="0.25">
      <c r="A38" s="422"/>
      <c r="B38" s="422"/>
      <c r="C38" s="406"/>
      <c r="D38" s="389" t="s">
        <v>48</v>
      </c>
      <c r="E38" s="409"/>
      <c r="F38" s="409">
        <f>+'Ex. 3 Calcs-District'!E20</f>
        <v>306566.69293745077</v>
      </c>
      <c r="G38" s="393"/>
      <c r="L38" s="393"/>
      <c r="M38" s="405"/>
      <c r="N38" s="389" t="str">
        <f t="shared" si="10"/>
        <v>Lease receivable</v>
      </c>
      <c r="O38" s="402"/>
      <c r="P38" s="402">
        <f t="shared" si="11"/>
        <v>306566.69293745077</v>
      </c>
      <c r="Q38" s="393"/>
    </row>
    <row r="39" spans="1:40" ht="14.65" customHeight="1" x14ac:dyDescent="0.25">
      <c r="A39" s="422"/>
      <c r="B39" s="422"/>
      <c r="C39" s="406" t="s">
        <v>823</v>
      </c>
      <c r="E39" s="409"/>
      <c r="F39" s="409"/>
      <c r="G39" s="393"/>
      <c r="L39" s="393"/>
      <c r="M39" s="405" t="str">
        <f t="shared" ref="M39:M40" si="12">C39</f>
        <v>[To record receipt of annual lease and services payment]</v>
      </c>
      <c r="O39" s="402"/>
      <c r="P39" s="402"/>
      <c r="Q39" s="393"/>
    </row>
    <row r="40" spans="1:40" ht="14.65" customHeight="1" x14ac:dyDescent="0.25">
      <c r="A40" s="422"/>
      <c r="B40" s="422"/>
      <c r="C40" s="406"/>
      <c r="E40" s="409"/>
      <c r="F40" s="409"/>
      <c r="G40" s="393"/>
      <c r="L40" s="393"/>
      <c r="M40" s="703">
        <f t="shared" si="12"/>
        <v>0</v>
      </c>
      <c r="O40" s="402"/>
      <c r="P40" s="402"/>
      <c r="Q40" s="393"/>
    </row>
    <row r="41" spans="1:40" ht="14.65" customHeight="1" x14ac:dyDescent="0.25">
      <c r="A41" s="422"/>
      <c r="B41" s="422"/>
      <c r="C41" s="406"/>
      <c r="E41" s="409"/>
      <c r="F41" s="409"/>
      <c r="G41" s="393"/>
      <c r="L41" s="393"/>
      <c r="M41" s="405"/>
      <c r="O41" s="402"/>
      <c r="P41" s="402"/>
      <c r="Q41" s="393"/>
    </row>
    <row r="42" spans="1:40" ht="14.65" customHeight="1" x14ac:dyDescent="0.25">
      <c r="A42" s="422"/>
      <c r="B42" s="422"/>
      <c r="C42" s="406"/>
      <c r="E42" s="409"/>
      <c r="F42" s="409"/>
      <c r="G42" s="393"/>
      <c r="L42" s="393"/>
      <c r="M42" s="405"/>
      <c r="O42" s="402"/>
      <c r="P42" s="402"/>
      <c r="Q42" s="393"/>
    </row>
    <row r="43" spans="1:40" ht="14.65" customHeight="1" x14ac:dyDescent="0.25">
      <c r="A43" s="422" t="s">
        <v>148</v>
      </c>
      <c r="B43" s="422"/>
      <c r="C43" s="389" t="str">
        <f>+D36</f>
        <v>Unearned revenue - charges for services</v>
      </c>
      <c r="E43" s="409">
        <f>+F36</f>
        <v>100000</v>
      </c>
      <c r="F43" s="409"/>
      <c r="G43" s="393"/>
      <c r="I43" s="389" t="s">
        <v>36</v>
      </c>
      <c r="L43" s="393"/>
      <c r="M43" s="404" t="str">
        <f t="shared" ref="M43:M44" si="13">C43</f>
        <v>Unearned revenue - charges for services</v>
      </c>
      <c r="O43" s="402">
        <f t="shared" ref="O43:O44" si="14">E43</f>
        <v>100000</v>
      </c>
      <c r="P43" s="402"/>
      <c r="Q43" s="393"/>
    </row>
    <row r="44" spans="1:40" ht="14.65" customHeight="1" x14ac:dyDescent="0.25">
      <c r="A44" s="422"/>
      <c r="B44" s="422"/>
      <c r="C44" s="389" t="str">
        <f>+C16</f>
        <v>Deferred inflow of resources</v>
      </c>
      <c r="E44" s="409">
        <f>+'Ex. 3 Calcs-District'!I20</f>
        <v>351445</v>
      </c>
      <c r="F44" s="409"/>
      <c r="G44" s="393"/>
      <c r="L44" s="393"/>
      <c r="M44" s="404" t="str">
        <f t="shared" si="13"/>
        <v>Deferred inflow of resources</v>
      </c>
      <c r="O44" s="402">
        <f t="shared" si="14"/>
        <v>351445</v>
      </c>
      <c r="P44" s="402"/>
      <c r="Q44" s="393"/>
    </row>
    <row r="45" spans="1:40" ht="14.65" customHeight="1" x14ac:dyDescent="0.25">
      <c r="A45" s="422"/>
      <c r="B45" s="422"/>
      <c r="C45" s="406"/>
      <c r="D45" s="389" t="s">
        <v>50</v>
      </c>
      <c r="E45" s="409"/>
      <c r="F45" s="409">
        <f>+E44</f>
        <v>351445</v>
      </c>
      <c r="G45" s="393"/>
      <c r="L45" s="393"/>
      <c r="M45" s="405"/>
      <c r="N45" s="389" t="str">
        <f t="shared" ref="N45:N46" si="15">D45</f>
        <v>Lease revenue</v>
      </c>
      <c r="O45" s="402"/>
      <c r="P45" s="402">
        <f t="shared" ref="P45:P46" si="16">F45</f>
        <v>351445</v>
      </c>
      <c r="Q45" s="393"/>
    </row>
    <row r="46" spans="1:40" ht="14.65" customHeight="1" x14ac:dyDescent="0.25">
      <c r="A46" s="485"/>
      <c r="B46" s="485"/>
      <c r="C46" s="405"/>
      <c r="D46" s="404" t="s">
        <v>773</v>
      </c>
      <c r="E46" s="409"/>
      <c r="F46" s="409">
        <f>+E43</f>
        <v>100000</v>
      </c>
      <c r="G46" s="393"/>
      <c r="H46" s="405"/>
      <c r="I46" s="404"/>
      <c r="J46" s="409"/>
      <c r="K46" s="409"/>
      <c r="L46" s="393"/>
      <c r="M46" s="528"/>
      <c r="N46" s="404" t="str">
        <f t="shared" si="15"/>
        <v>Revenue - charges for services</v>
      </c>
      <c r="O46" s="409"/>
      <c r="P46" s="490">
        <f t="shared" si="16"/>
        <v>100000</v>
      </c>
      <c r="Q46" s="393"/>
      <c r="R46" s="415"/>
      <c r="S46" s="415"/>
      <c r="T46" s="415"/>
      <c r="U46" s="415"/>
      <c r="V46" s="415"/>
      <c r="W46" s="415"/>
      <c r="X46" s="415"/>
      <c r="Y46" s="415"/>
      <c r="Z46" s="415"/>
      <c r="AA46" s="415"/>
      <c r="AB46" s="415"/>
      <c r="AC46" s="415"/>
      <c r="AD46" s="415"/>
      <c r="AE46" s="415"/>
      <c r="AF46" s="415"/>
      <c r="AG46" s="415"/>
      <c r="AH46" s="415"/>
      <c r="AI46" s="415"/>
      <c r="AJ46" s="415"/>
      <c r="AK46" s="415"/>
      <c r="AL46" s="415"/>
      <c r="AM46" s="415"/>
      <c r="AN46" s="415"/>
    </row>
    <row r="47" spans="1:40" ht="14.65" customHeight="1" x14ac:dyDescent="0.25">
      <c r="A47" s="485"/>
      <c r="B47" s="485"/>
      <c r="C47" s="405" t="s">
        <v>136</v>
      </c>
      <c r="D47" s="404"/>
      <c r="E47" s="409"/>
      <c r="F47" s="409"/>
      <c r="G47" s="393"/>
      <c r="H47" s="405"/>
      <c r="I47" s="404"/>
      <c r="J47" s="409"/>
      <c r="K47" s="409"/>
      <c r="L47" s="393"/>
      <c r="M47" s="528" t="str">
        <f t="shared" ref="M47:M48" si="17">C47</f>
        <v xml:space="preserve">[To record amortization of deferred inflow of resources </v>
      </c>
      <c r="N47" s="404"/>
      <c r="O47" s="409"/>
      <c r="P47" s="490"/>
      <c r="Q47" s="393"/>
      <c r="R47" s="415"/>
      <c r="S47" s="415"/>
      <c r="T47" s="415"/>
      <c r="U47" s="415"/>
      <c r="V47" s="415"/>
      <c r="W47" s="415"/>
      <c r="X47" s="415"/>
      <c r="Y47" s="415"/>
      <c r="Z47" s="415"/>
      <c r="AA47" s="415"/>
      <c r="AB47" s="415"/>
      <c r="AC47" s="415"/>
      <c r="AD47" s="415"/>
      <c r="AE47" s="415"/>
      <c r="AF47" s="415"/>
      <c r="AG47" s="415"/>
      <c r="AH47" s="415"/>
      <c r="AI47" s="415"/>
      <c r="AJ47" s="415"/>
      <c r="AK47" s="415"/>
      <c r="AL47" s="415"/>
      <c r="AM47" s="415"/>
      <c r="AN47" s="415"/>
    </row>
    <row r="48" spans="1:40" ht="14.65" customHeight="1" x14ac:dyDescent="0.25">
      <c r="A48" s="485"/>
      <c r="B48" s="485"/>
      <c r="C48" s="405" t="s">
        <v>137</v>
      </c>
      <c r="D48" s="404"/>
      <c r="E48" s="409"/>
      <c r="F48" s="409"/>
      <c r="G48" s="393"/>
      <c r="H48" s="405"/>
      <c r="I48" s="404"/>
      <c r="J48" s="409"/>
      <c r="K48" s="409"/>
      <c r="L48" s="393"/>
      <c r="M48" s="528" t="str">
        <f t="shared" si="17"/>
        <v>and recognition of revenue for year]</v>
      </c>
      <c r="N48" s="404"/>
      <c r="O48" s="409"/>
      <c r="P48" s="490"/>
      <c r="Q48" s="393"/>
      <c r="R48" s="415"/>
      <c r="S48" s="415"/>
      <c r="T48" s="415"/>
      <c r="U48" s="415"/>
      <c r="V48" s="415"/>
      <c r="W48" s="415"/>
      <c r="X48" s="415"/>
      <c r="Y48" s="415"/>
      <c r="Z48" s="415"/>
      <c r="AA48" s="415"/>
      <c r="AB48" s="415"/>
      <c r="AC48" s="415"/>
      <c r="AD48" s="415"/>
      <c r="AE48" s="415"/>
      <c r="AF48" s="415"/>
      <c r="AG48" s="415"/>
      <c r="AH48" s="415"/>
      <c r="AI48" s="415"/>
      <c r="AJ48" s="415"/>
      <c r="AK48" s="415"/>
      <c r="AL48" s="415"/>
      <c r="AM48" s="415"/>
      <c r="AN48" s="415"/>
    </row>
    <row r="49" spans="1:40" ht="14.65" customHeight="1" x14ac:dyDescent="0.25">
      <c r="A49" s="485"/>
      <c r="B49" s="485"/>
      <c r="C49" s="405"/>
      <c r="D49" s="404"/>
      <c r="E49" s="409"/>
      <c r="F49" s="409"/>
      <c r="G49" s="393"/>
      <c r="H49" s="405"/>
      <c r="I49" s="404"/>
      <c r="J49" s="409"/>
      <c r="K49" s="409"/>
      <c r="L49" s="393"/>
      <c r="M49" s="528"/>
      <c r="N49" s="404"/>
      <c r="O49" s="409"/>
      <c r="P49" s="490"/>
      <c r="Q49" s="393"/>
      <c r="R49" s="415"/>
      <c r="S49" s="415"/>
      <c r="T49" s="415"/>
      <c r="U49" s="415"/>
      <c r="V49" s="415"/>
      <c r="W49" s="415"/>
      <c r="X49" s="415"/>
      <c r="Y49" s="415"/>
      <c r="Z49" s="415"/>
      <c r="AA49" s="415"/>
      <c r="AB49" s="415"/>
      <c r="AC49" s="415"/>
      <c r="AD49" s="415"/>
      <c r="AE49" s="415"/>
      <c r="AF49" s="415"/>
      <c r="AG49" s="415"/>
      <c r="AH49" s="415"/>
      <c r="AI49" s="415"/>
      <c r="AJ49" s="415"/>
      <c r="AK49" s="415"/>
      <c r="AL49" s="415"/>
      <c r="AM49" s="415"/>
      <c r="AN49" s="415"/>
    </row>
    <row r="50" spans="1:40" ht="14.65" customHeight="1" x14ac:dyDescent="0.25">
      <c r="A50" s="485"/>
      <c r="B50" s="485"/>
      <c r="C50" s="405"/>
      <c r="D50" s="404"/>
      <c r="E50" s="409"/>
      <c r="F50" s="409"/>
      <c r="G50" s="393"/>
      <c r="H50" s="405"/>
      <c r="I50" s="404"/>
      <c r="J50" s="409"/>
      <c r="K50" s="409"/>
      <c r="L50" s="393"/>
      <c r="M50" s="528"/>
      <c r="N50" s="404"/>
      <c r="O50" s="409"/>
      <c r="P50" s="490"/>
      <c r="Q50" s="393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  <c r="AC50" s="415"/>
      <c r="AD50" s="415"/>
      <c r="AE50" s="415"/>
      <c r="AF50" s="415"/>
      <c r="AG50" s="415"/>
      <c r="AH50" s="415"/>
      <c r="AI50" s="415"/>
      <c r="AJ50" s="415"/>
      <c r="AK50" s="415"/>
      <c r="AL50" s="415"/>
      <c r="AM50" s="415"/>
      <c r="AN50" s="415"/>
    </row>
    <row r="51" spans="1:40" ht="14.65" customHeight="1" x14ac:dyDescent="0.25">
      <c r="A51" s="422" t="s">
        <v>149</v>
      </c>
      <c r="B51" s="422"/>
      <c r="C51" s="405"/>
      <c r="D51" s="389" t="s">
        <v>36</v>
      </c>
      <c r="E51" s="409"/>
      <c r="F51" s="409"/>
      <c r="G51" s="393"/>
      <c r="H51" s="404" t="s">
        <v>27</v>
      </c>
      <c r="I51" s="404"/>
      <c r="J51" s="409">
        <f>+K52</f>
        <v>84236.306274425704</v>
      </c>
      <c r="K51" s="409"/>
      <c r="L51" s="393"/>
      <c r="M51" s="403" t="str">
        <f t="shared" ref="M51" si="18">H51</f>
        <v>Interest receivable</v>
      </c>
      <c r="N51" s="404"/>
      <c r="O51" s="409">
        <f t="shared" ref="O51" si="19">J51</f>
        <v>84236.306274425704</v>
      </c>
      <c r="P51" s="490"/>
      <c r="Q51" s="393"/>
      <c r="R51" s="415"/>
      <c r="S51" s="415"/>
      <c r="T51" s="415"/>
      <c r="U51" s="415"/>
      <c r="V51" s="415"/>
      <c r="W51" s="415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5"/>
      <c r="AL51" s="415"/>
      <c r="AM51" s="415"/>
      <c r="AN51" s="415"/>
    </row>
    <row r="52" spans="1:40" ht="14.65" customHeight="1" x14ac:dyDescent="0.25">
      <c r="A52" s="485"/>
      <c r="B52" s="485"/>
      <c r="C52" s="405"/>
      <c r="D52" s="404"/>
      <c r="E52" s="409"/>
      <c r="F52" s="409"/>
      <c r="G52" s="393"/>
      <c r="H52" s="405"/>
      <c r="I52" s="404" t="s">
        <v>22</v>
      </c>
      <c r="J52" s="409"/>
      <c r="K52" s="409">
        <f>+'Ex. 3 Calcs-District'!D21</f>
        <v>84236.306274425704</v>
      </c>
      <c r="L52" s="393"/>
      <c r="M52" s="403"/>
      <c r="N52" s="404" t="str">
        <f t="shared" ref="N52" si="20">I52</f>
        <v>Interest income</v>
      </c>
      <c r="O52" s="409"/>
      <c r="P52" s="490">
        <f t="shared" ref="P52" si="21">K52</f>
        <v>84236.306274425704</v>
      </c>
      <c r="Q52" s="393"/>
      <c r="R52" s="415"/>
      <c r="S52" s="415"/>
      <c r="T52" s="415"/>
      <c r="U52" s="415"/>
      <c r="V52" s="415"/>
      <c r="W52" s="415"/>
      <c r="X52" s="415"/>
      <c r="Y52" s="415"/>
      <c r="Z52" s="415"/>
      <c r="AA52" s="415"/>
      <c r="AB52" s="415"/>
      <c r="AC52" s="415"/>
      <c r="AD52" s="415"/>
      <c r="AE52" s="415"/>
      <c r="AF52" s="415"/>
      <c r="AG52" s="415"/>
      <c r="AH52" s="415"/>
      <c r="AI52" s="415"/>
      <c r="AJ52" s="415"/>
      <c r="AK52" s="415"/>
      <c r="AL52" s="415"/>
      <c r="AM52" s="415"/>
      <c r="AN52" s="415"/>
    </row>
    <row r="53" spans="1:40" ht="14.65" customHeight="1" x14ac:dyDescent="0.25">
      <c r="A53" s="485"/>
      <c r="B53" s="485"/>
      <c r="C53" s="415"/>
      <c r="D53" s="404"/>
      <c r="E53" s="409"/>
      <c r="F53" s="409"/>
      <c r="G53" s="393"/>
      <c r="H53" s="405" t="s">
        <v>140</v>
      </c>
      <c r="I53" s="405"/>
      <c r="J53" s="409"/>
      <c r="K53" s="409"/>
      <c r="L53" s="393"/>
      <c r="M53" s="484" t="str">
        <f t="shared" ref="M53" si="22">H53</f>
        <v>[To record accrued interest receivable on lease]</v>
      </c>
      <c r="N53" s="405"/>
      <c r="O53" s="409"/>
      <c r="P53" s="490"/>
      <c r="Q53" s="393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5"/>
      <c r="AC53" s="415"/>
      <c r="AD53" s="415"/>
      <c r="AE53" s="415"/>
      <c r="AF53" s="415"/>
      <c r="AG53" s="415"/>
      <c r="AH53" s="415"/>
      <c r="AI53" s="415"/>
      <c r="AJ53" s="415"/>
      <c r="AK53" s="415"/>
      <c r="AL53" s="415"/>
      <c r="AM53" s="415"/>
      <c r="AN53" s="415"/>
    </row>
    <row r="54" spans="1:40" ht="14.65" customHeight="1" x14ac:dyDescent="0.25">
      <c r="A54" s="485"/>
      <c r="B54" s="485"/>
      <c r="C54" s="405"/>
      <c r="D54" s="404"/>
      <c r="E54" s="409"/>
      <c r="F54" s="409"/>
      <c r="G54" s="393"/>
      <c r="H54" s="405"/>
      <c r="I54" s="404"/>
      <c r="J54" s="409"/>
      <c r="K54" s="409"/>
      <c r="L54" s="393"/>
      <c r="M54" s="528"/>
      <c r="N54" s="404"/>
      <c r="O54" s="409"/>
      <c r="P54" s="490"/>
      <c r="Q54" s="393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5"/>
      <c r="AH54" s="415"/>
      <c r="AI54" s="415"/>
      <c r="AJ54" s="415"/>
      <c r="AK54" s="415"/>
      <c r="AL54" s="415"/>
      <c r="AM54" s="415"/>
      <c r="AN54" s="415"/>
    </row>
    <row r="55" spans="1:40" ht="14.65" customHeight="1" x14ac:dyDescent="0.25">
      <c r="A55" s="485"/>
      <c r="B55" s="485"/>
      <c r="C55" s="405"/>
      <c r="D55" s="404"/>
      <c r="E55" s="409"/>
      <c r="F55" s="409"/>
      <c r="G55" s="393"/>
      <c r="H55" s="405"/>
      <c r="I55" s="404"/>
      <c r="J55" s="409"/>
      <c r="K55" s="409"/>
      <c r="L55" s="393"/>
      <c r="M55" s="528"/>
      <c r="N55" s="404"/>
      <c r="O55" s="409"/>
      <c r="P55" s="490"/>
      <c r="Q55" s="393"/>
      <c r="R55" s="415"/>
      <c r="S55" s="415"/>
      <c r="T55" s="415"/>
      <c r="U55" s="415"/>
      <c r="V55" s="415"/>
      <c r="W55" s="415"/>
      <c r="X55" s="415"/>
      <c r="Y55" s="415"/>
      <c r="Z55" s="415"/>
      <c r="AA55" s="415"/>
      <c r="AB55" s="415"/>
      <c r="AC55" s="415"/>
      <c r="AD55" s="415"/>
      <c r="AE55" s="415"/>
      <c r="AF55" s="415"/>
      <c r="AG55" s="415"/>
      <c r="AH55" s="415"/>
      <c r="AI55" s="415"/>
      <c r="AJ55" s="415"/>
      <c r="AK55" s="415"/>
      <c r="AL55" s="415"/>
      <c r="AM55" s="415"/>
      <c r="AN55" s="415"/>
    </row>
    <row r="56" spans="1:40" ht="14.65" customHeight="1" x14ac:dyDescent="0.25">
      <c r="A56" s="422" t="s">
        <v>150</v>
      </c>
      <c r="B56" s="422"/>
      <c r="C56" s="405"/>
      <c r="D56" s="389" t="s">
        <v>36</v>
      </c>
      <c r="E56" s="409"/>
      <c r="F56" s="409"/>
      <c r="G56" s="393"/>
      <c r="H56" s="404" t="s">
        <v>24</v>
      </c>
      <c r="I56" s="404"/>
      <c r="J56" s="409">
        <f>+K57+K58</f>
        <v>864500</v>
      </c>
      <c r="K56" s="409"/>
      <c r="L56" s="393"/>
      <c r="M56" s="403" t="str">
        <f t="shared" ref="M56" si="23">H56</f>
        <v>Depreciation expense</v>
      </c>
      <c r="N56" s="404"/>
      <c r="O56" s="409">
        <f t="shared" ref="O56" si="24">J56</f>
        <v>864500</v>
      </c>
      <c r="P56" s="490"/>
      <c r="Q56" s="393"/>
      <c r="R56" s="415"/>
      <c r="S56" s="415"/>
      <c r="T56" s="415"/>
      <c r="U56" s="415"/>
      <c r="V56" s="415"/>
      <c r="W56" s="415"/>
      <c r="X56" s="415"/>
      <c r="Y56" s="415"/>
      <c r="Z56" s="415"/>
      <c r="AA56" s="415"/>
      <c r="AB56" s="415"/>
      <c r="AC56" s="415"/>
      <c r="AD56" s="415"/>
      <c r="AE56" s="415"/>
      <c r="AF56" s="415"/>
      <c r="AG56" s="415"/>
      <c r="AH56" s="415"/>
      <c r="AI56" s="415"/>
      <c r="AJ56" s="415"/>
      <c r="AK56" s="415"/>
      <c r="AL56" s="415"/>
      <c r="AM56" s="415"/>
      <c r="AN56" s="415"/>
    </row>
    <row r="57" spans="1:40" ht="14.65" customHeight="1" x14ac:dyDescent="0.25">
      <c r="A57" s="485"/>
      <c r="B57" s="485"/>
      <c r="C57" s="405"/>
      <c r="D57" s="404"/>
      <c r="E57" s="409"/>
      <c r="F57" s="409"/>
      <c r="G57" s="393"/>
      <c r="H57" s="405"/>
      <c r="I57" s="404" t="s">
        <v>25</v>
      </c>
      <c r="J57" s="409"/>
      <c r="K57" s="409">
        <f>+'Example 3 Assumptions Summary'!$E$15</f>
        <v>800000</v>
      </c>
      <c r="L57" s="393"/>
      <c r="M57" s="403"/>
      <c r="N57" s="404" t="str">
        <f t="shared" ref="N57:N58" si="25">I57</f>
        <v>Accumulated depreciation - building</v>
      </c>
      <c r="O57" s="409"/>
      <c r="P57" s="490">
        <f t="shared" ref="P57:P58" si="26">K57</f>
        <v>800000</v>
      </c>
      <c r="Q57" s="393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5"/>
      <c r="AC57" s="415"/>
      <c r="AD57" s="415"/>
      <c r="AE57" s="415"/>
      <c r="AF57" s="415"/>
      <c r="AG57" s="415"/>
      <c r="AH57" s="415"/>
      <c r="AI57" s="415"/>
      <c r="AJ57" s="415"/>
      <c r="AK57" s="415"/>
      <c r="AL57" s="415"/>
      <c r="AM57" s="415"/>
      <c r="AN57" s="415"/>
    </row>
    <row r="58" spans="1:40" ht="14.65" customHeight="1" x14ac:dyDescent="0.25">
      <c r="A58" s="529"/>
      <c r="B58" s="529"/>
      <c r="C58" s="415"/>
      <c r="D58" s="415"/>
      <c r="E58" s="445"/>
      <c r="F58" s="445"/>
      <c r="G58" s="415"/>
      <c r="H58" s="415"/>
      <c r="I58" s="415" t="s">
        <v>138</v>
      </c>
      <c r="J58" s="445"/>
      <c r="K58" s="409">
        <f>+'Example 3 Assumptions Summary'!$E$16</f>
        <v>64500</v>
      </c>
      <c r="L58" s="415"/>
      <c r="M58" s="415"/>
      <c r="N58" s="415" t="str">
        <f t="shared" si="25"/>
        <v>Accumulated depreciation - furniture &amp; fixtures</v>
      </c>
      <c r="O58" s="445"/>
      <c r="P58" s="490">
        <f t="shared" si="26"/>
        <v>64500</v>
      </c>
      <c r="Q58" s="415"/>
      <c r="R58" s="415"/>
      <c r="S58" s="415"/>
      <c r="T58" s="415"/>
      <c r="U58" s="415"/>
      <c r="V58" s="415"/>
      <c r="W58" s="415"/>
      <c r="X58" s="415"/>
      <c r="Y58" s="415"/>
      <c r="Z58" s="415"/>
      <c r="AA58" s="415"/>
      <c r="AB58" s="415"/>
      <c r="AC58" s="415"/>
      <c r="AD58" s="415"/>
      <c r="AE58" s="415"/>
      <c r="AF58" s="415"/>
      <c r="AG58" s="415"/>
      <c r="AH58" s="415"/>
      <c r="AI58" s="415"/>
      <c r="AJ58" s="415"/>
      <c r="AK58" s="415"/>
      <c r="AL58" s="415"/>
      <c r="AM58" s="415"/>
      <c r="AN58" s="415"/>
    </row>
    <row r="59" spans="1:40" ht="14.65" customHeight="1" x14ac:dyDescent="0.25">
      <c r="A59" s="485"/>
      <c r="B59" s="485"/>
      <c r="C59" s="415"/>
      <c r="D59" s="404"/>
      <c r="E59" s="409"/>
      <c r="F59" s="409"/>
      <c r="G59" s="393"/>
      <c r="H59" s="405" t="s">
        <v>139</v>
      </c>
      <c r="I59" s="405"/>
      <c r="J59" s="409"/>
      <c r="K59" s="409"/>
      <c r="L59" s="393"/>
      <c r="M59" s="484" t="str">
        <f t="shared" ref="M59" si="27">H59</f>
        <v>[To record annual depreciation of underlying capital assets]</v>
      </c>
      <c r="N59" s="405"/>
      <c r="O59" s="409"/>
      <c r="P59" s="490"/>
      <c r="Q59" s="393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5"/>
      <c r="AC59" s="415"/>
      <c r="AD59" s="415"/>
      <c r="AE59" s="415"/>
      <c r="AF59" s="415"/>
      <c r="AG59" s="415"/>
      <c r="AH59" s="415"/>
      <c r="AI59" s="415"/>
      <c r="AJ59" s="415"/>
      <c r="AK59" s="415"/>
      <c r="AL59" s="415"/>
      <c r="AM59" s="415"/>
      <c r="AN59" s="415"/>
    </row>
    <row r="60" spans="1:40" ht="14.65" customHeight="1" x14ac:dyDescent="0.25">
      <c r="A60" s="485"/>
      <c r="B60" s="485"/>
      <c r="C60" s="415"/>
      <c r="D60" s="404"/>
      <c r="E60" s="409"/>
      <c r="F60" s="409"/>
      <c r="G60" s="393"/>
      <c r="H60" s="405"/>
      <c r="I60" s="405"/>
      <c r="J60" s="409"/>
      <c r="K60" s="409"/>
      <c r="L60" s="393"/>
      <c r="M60" s="484"/>
      <c r="N60" s="405"/>
      <c r="O60" s="409"/>
      <c r="P60" s="490"/>
      <c r="Q60" s="393"/>
      <c r="R60" s="415"/>
      <c r="S60" s="415"/>
      <c r="T60" s="415"/>
      <c r="U60" s="415"/>
      <c r="V60" s="415"/>
      <c r="W60" s="415"/>
      <c r="X60" s="415"/>
      <c r="Y60" s="415"/>
      <c r="Z60" s="415"/>
      <c r="AA60" s="415"/>
      <c r="AB60" s="415"/>
      <c r="AC60" s="415"/>
      <c r="AD60" s="415"/>
      <c r="AE60" s="415"/>
      <c r="AF60" s="415"/>
      <c r="AG60" s="415"/>
      <c r="AH60" s="415"/>
      <c r="AI60" s="415"/>
      <c r="AJ60" s="415"/>
      <c r="AK60" s="415"/>
      <c r="AL60" s="415"/>
      <c r="AM60" s="415"/>
      <c r="AN60" s="415"/>
    </row>
    <row r="61" spans="1:40" ht="14.65" customHeight="1" x14ac:dyDescent="0.25">
      <c r="A61" s="485"/>
      <c r="B61" s="485"/>
      <c r="C61" s="415"/>
      <c r="D61" s="404"/>
      <c r="E61" s="409"/>
      <c r="F61" s="409"/>
      <c r="G61" s="393"/>
      <c r="H61" s="405"/>
      <c r="I61" s="405"/>
      <c r="J61" s="409"/>
      <c r="K61" s="409"/>
      <c r="L61" s="393"/>
      <c r="M61" s="484"/>
      <c r="N61" s="405"/>
      <c r="O61" s="409"/>
      <c r="P61" s="490"/>
      <c r="Q61" s="393"/>
      <c r="R61" s="415"/>
      <c r="S61" s="415"/>
      <c r="T61" s="415"/>
      <c r="U61" s="415"/>
      <c r="V61" s="415"/>
      <c r="W61" s="415"/>
      <c r="X61" s="415"/>
      <c r="Y61" s="415"/>
      <c r="Z61" s="415"/>
      <c r="AA61" s="415"/>
      <c r="AB61" s="415"/>
      <c r="AC61" s="415"/>
      <c r="AD61" s="415"/>
      <c r="AE61" s="415"/>
      <c r="AF61" s="415"/>
      <c r="AG61" s="415"/>
      <c r="AH61" s="415"/>
      <c r="AI61" s="415"/>
      <c r="AJ61" s="415"/>
      <c r="AK61" s="415"/>
      <c r="AL61" s="415"/>
      <c r="AM61" s="415"/>
      <c r="AN61" s="415"/>
    </row>
    <row r="62" spans="1:40" ht="14.65" customHeight="1" x14ac:dyDescent="0.25">
      <c r="A62" s="398" t="s">
        <v>215</v>
      </c>
      <c r="B62" s="422"/>
      <c r="C62" s="405"/>
      <c r="E62" s="409"/>
      <c r="F62" s="409"/>
      <c r="G62" s="393"/>
      <c r="H62" s="404"/>
      <c r="I62" s="404"/>
      <c r="J62" s="409"/>
      <c r="K62" s="409"/>
      <c r="L62" s="393"/>
      <c r="M62" s="404"/>
      <c r="N62" s="404"/>
      <c r="O62" s="409"/>
      <c r="P62" s="402"/>
      <c r="Q62" s="393"/>
    </row>
    <row r="63" spans="1:40" ht="14.65" customHeight="1" x14ac:dyDescent="0.25">
      <c r="A63" s="422" t="s">
        <v>216</v>
      </c>
      <c r="B63" s="422"/>
      <c r="C63" s="389" t="s">
        <v>2</v>
      </c>
      <c r="E63" s="409">
        <f>+'Ex. 3 Calcs-District'!C5</f>
        <v>500000</v>
      </c>
      <c r="F63" s="409"/>
      <c r="G63" s="393"/>
      <c r="H63" s="389" t="str">
        <f>+D65</f>
        <v>Interest income</v>
      </c>
      <c r="J63" s="388">
        <f>+F65</f>
        <v>84236.306274425704</v>
      </c>
      <c r="L63" s="393"/>
      <c r="M63" s="404" t="str">
        <f t="shared" ref="M63" si="28">C63</f>
        <v>Cash</v>
      </c>
      <c r="O63" s="402">
        <f t="shared" ref="O63" si="29">E63</f>
        <v>500000</v>
      </c>
      <c r="P63" s="402"/>
      <c r="Q63" s="393"/>
    </row>
    <row r="64" spans="1:40" ht="14.65" customHeight="1" x14ac:dyDescent="0.25">
      <c r="A64" s="422"/>
      <c r="B64" s="422"/>
      <c r="C64" s="406"/>
      <c r="D64" s="389" t="s">
        <v>133</v>
      </c>
      <c r="E64" s="409"/>
      <c r="F64" s="409">
        <f>+'Ex. 3 Calcs-District'!C6</f>
        <v>100000</v>
      </c>
      <c r="G64" s="393"/>
      <c r="I64" s="389" t="s">
        <v>27</v>
      </c>
      <c r="K64" s="388">
        <f>+J51</f>
        <v>84236.306274425704</v>
      </c>
      <c r="L64" s="393"/>
      <c r="M64" s="405"/>
      <c r="N64" s="389" t="str">
        <f t="shared" ref="N64" si="30">D64</f>
        <v>Unearned revenue - charges for services</v>
      </c>
      <c r="O64" s="402"/>
      <c r="P64" s="402">
        <f t="shared" ref="P64" si="31">F64</f>
        <v>100000</v>
      </c>
      <c r="Q64" s="393"/>
    </row>
    <row r="65" spans="1:17" x14ac:dyDescent="0.25">
      <c r="A65" s="422"/>
      <c r="B65" s="422"/>
      <c r="C65" s="406"/>
      <c r="D65" s="389" t="s">
        <v>22</v>
      </c>
      <c r="E65" s="409"/>
      <c r="F65" s="409">
        <f>+'Ex. 3 Calcs-District'!D21</f>
        <v>84236.306274425704</v>
      </c>
      <c r="G65" s="393"/>
      <c r="L65" s="393"/>
      <c r="M65" s="405"/>
      <c r="N65" s="389" t="str">
        <f>+I64</f>
        <v>Interest receivable</v>
      </c>
      <c r="O65" s="402"/>
      <c r="P65" s="402">
        <f>+K64</f>
        <v>84236.306274425704</v>
      </c>
      <c r="Q65" s="393"/>
    </row>
    <row r="66" spans="1:17" x14ac:dyDescent="0.25">
      <c r="A66" s="422"/>
      <c r="B66" s="422"/>
      <c r="C66" s="406"/>
      <c r="D66" s="389" t="s">
        <v>48</v>
      </c>
      <c r="E66" s="409"/>
      <c r="F66" s="409">
        <f>+'Ex. 3 Calcs-District'!E21</f>
        <v>315763.6937255743</v>
      </c>
      <c r="G66" s="393"/>
      <c r="L66" s="393"/>
      <c r="M66" s="405"/>
      <c r="N66" s="389" t="str">
        <f t="shared" ref="N66" si="32">D66</f>
        <v>Lease receivable</v>
      </c>
      <c r="O66" s="402"/>
      <c r="P66" s="402">
        <f t="shared" ref="P66" si="33">F66</f>
        <v>315763.6937255743</v>
      </c>
      <c r="Q66" s="393"/>
    </row>
    <row r="67" spans="1:17" x14ac:dyDescent="0.25">
      <c r="A67" s="422"/>
      <c r="B67" s="422"/>
      <c r="C67" s="406" t="s">
        <v>134</v>
      </c>
      <c r="E67" s="409"/>
      <c r="F67" s="409"/>
      <c r="G67" s="393"/>
      <c r="L67" s="393"/>
      <c r="M67" s="405" t="str">
        <f t="shared" ref="M67:M68" si="34">C67</f>
        <v xml:space="preserve">[To record inception of lease contract and receipt of </v>
      </c>
      <c r="O67" s="402"/>
      <c r="P67" s="402"/>
      <c r="Q67" s="393"/>
    </row>
    <row r="68" spans="1:17" x14ac:dyDescent="0.25">
      <c r="A68" s="422"/>
      <c r="B68" s="422"/>
      <c r="C68" s="406" t="s">
        <v>135</v>
      </c>
      <c r="E68" s="409"/>
      <c r="F68" s="409"/>
      <c r="G68" s="393"/>
      <c r="L68" s="393"/>
      <c r="M68" s="405" t="str">
        <f t="shared" si="34"/>
        <v>prepayment for operating component of annual payment]</v>
      </c>
      <c r="O68" s="402"/>
      <c r="P68" s="402"/>
      <c r="Q68" s="393"/>
    </row>
    <row r="69" spans="1:17" x14ac:dyDescent="0.25">
      <c r="A69" s="422"/>
      <c r="B69" s="422"/>
      <c r="C69" s="406"/>
      <c r="E69" s="409"/>
      <c r="F69" s="409"/>
      <c r="G69" s="393"/>
      <c r="L69" s="393"/>
      <c r="M69" s="405"/>
      <c r="O69" s="402"/>
      <c r="P69" s="402"/>
      <c r="Q69" s="393"/>
    </row>
    <row r="70" spans="1:17" x14ac:dyDescent="0.25">
      <c r="A70" s="422"/>
      <c r="B70" s="422"/>
      <c r="C70" s="406"/>
      <c r="E70" s="409"/>
      <c r="F70" s="409"/>
      <c r="G70" s="393"/>
      <c r="L70" s="393"/>
      <c r="M70" s="405"/>
      <c r="O70" s="402"/>
      <c r="P70" s="402"/>
      <c r="Q70" s="393"/>
    </row>
    <row r="71" spans="1:17" x14ac:dyDescent="0.25">
      <c r="A71" s="422" t="s">
        <v>217</v>
      </c>
      <c r="B71" s="422"/>
      <c r="C71" s="389" t="str">
        <f>+D64</f>
        <v>Unearned revenue - charges for services</v>
      </c>
      <c r="E71" s="409">
        <f>+F64</f>
        <v>100000</v>
      </c>
      <c r="F71" s="409"/>
      <c r="G71" s="393"/>
      <c r="I71" s="389" t="s">
        <v>36</v>
      </c>
      <c r="L71" s="393"/>
      <c r="M71" s="404" t="str">
        <f t="shared" ref="M71:M72" si="35">C71</f>
        <v>Unearned revenue - charges for services</v>
      </c>
      <c r="O71" s="402">
        <f t="shared" ref="O71:O72" si="36">E71</f>
        <v>100000</v>
      </c>
      <c r="P71" s="402"/>
      <c r="Q71" s="393"/>
    </row>
    <row r="72" spans="1:17" x14ac:dyDescent="0.25">
      <c r="A72" s="422"/>
      <c r="B72" s="422"/>
      <c r="C72" s="389" t="str">
        <f>+C44</f>
        <v>Deferred inflow of resources</v>
      </c>
      <c r="E72" s="409">
        <f>+'Ex. 3 Calcs-District'!I21</f>
        <v>351445</v>
      </c>
      <c r="F72" s="409"/>
      <c r="G72" s="393"/>
      <c r="L72" s="393"/>
      <c r="M72" s="404" t="str">
        <f t="shared" si="35"/>
        <v>Deferred inflow of resources</v>
      </c>
      <c r="O72" s="402">
        <f t="shared" si="36"/>
        <v>351445</v>
      </c>
      <c r="P72" s="402"/>
      <c r="Q72" s="393"/>
    </row>
    <row r="73" spans="1:17" x14ac:dyDescent="0.25">
      <c r="A73" s="422"/>
      <c r="B73" s="422"/>
      <c r="C73" s="406"/>
      <c r="D73" s="389" t="s">
        <v>50</v>
      </c>
      <c r="E73" s="409"/>
      <c r="F73" s="409">
        <f>+E72</f>
        <v>351445</v>
      </c>
      <c r="G73" s="393"/>
      <c r="L73" s="393"/>
      <c r="M73" s="405"/>
      <c r="N73" s="389" t="str">
        <f t="shared" ref="N73:N74" si="37">D73</f>
        <v>Lease revenue</v>
      </c>
      <c r="O73" s="402"/>
      <c r="P73" s="402">
        <f t="shared" ref="P73:P74" si="38">F73</f>
        <v>351445</v>
      </c>
      <c r="Q73" s="393"/>
    </row>
    <row r="74" spans="1:17" x14ac:dyDescent="0.25">
      <c r="A74" s="485"/>
      <c r="B74" s="485"/>
      <c r="C74" s="405"/>
      <c r="D74" s="404" t="s">
        <v>773</v>
      </c>
      <c r="E74" s="409"/>
      <c r="F74" s="409">
        <f>+E71</f>
        <v>100000</v>
      </c>
      <c r="G74" s="393"/>
      <c r="H74" s="405"/>
      <c r="I74" s="404"/>
      <c r="J74" s="409"/>
      <c r="K74" s="409"/>
      <c r="L74" s="393"/>
      <c r="M74" s="528"/>
      <c r="N74" s="404" t="str">
        <f t="shared" si="37"/>
        <v>Revenue - charges for services</v>
      </c>
      <c r="O74" s="409"/>
      <c r="P74" s="490">
        <f t="shared" si="38"/>
        <v>100000</v>
      </c>
      <c r="Q74" s="393"/>
    </row>
    <row r="75" spans="1:17" x14ac:dyDescent="0.25">
      <c r="A75" s="485"/>
      <c r="B75" s="485"/>
      <c r="C75" s="405" t="s">
        <v>136</v>
      </c>
      <c r="D75" s="404"/>
      <c r="E75" s="409"/>
      <c r="F75" s="409"/>
      <c r="G75" s="393"/>
      <c r="H75" s="405"/>
      <c r="I75" s="404"/>
      <c r="J75" s="409"/>
      <c r="K75" s="409"/>
      <c r="L75" s="393"/>
      <c r="M75" s="528" t="str">
        <f t="shared" ref="M75:M76" si="39">C75</f>
        <v xml:space="preserve">[To record amortization of deferred inflow of resources </v>
      </c>
      <c r="N75" s="404"/>
      <c r="O75" s="409"/>
      <c r="P75" s="490"/>
      <c r="Q75" s="393"/>
    </row>
    <row r="76" spans="1:17" x14ac:dyDescent="0.25">
      <c r="A76" s="485"/>
      <c r="B76" s="485"/>
      <c r="C76" s="405" t="s">
        <v>137</v>
      </c>
      <c r="D76" s="404"/>
      <c r="E76" s="409"/>
      <c r="F76" s="409"/>
      <c r="G76" s="393"/>
      <c r="H76" s="405"/>
      <c r="I76" s="404"/>
      <c r="J76" s="409"/>
      <c r="K76" s="409"/>
      <c r="L76" s="393"/>
      <c r="M76" s="528" t="str">
        <f t="shared" si="39"/>
        <v>and recognition of revenue for year]</v>
      </c>
      <c r="N76" s="404"/>
      <c r="O76" s="409"/>
      <c r="P76" s="490"/>
      <c r="Q76" s="393"/>
    </row>
    <row r="77" spans="1:17" x14ac:dyDescent="0.25">
      <c r="A77" s="485"/>
      <c r="B77" s="485"/>
      <c r="C77" s="405"/>
      <c r="D77" s="404"/>
      <c r="E77" s="409"/>
      <c r="F77" s="409"/>
      <c r="G77" s="393"/>
      <c r="H77" s="405"/>
      <c r="I77" s="404"/>
      <c r="J77" s="409"/>
      <c r="K77" s="409"/>
      <c r="L77" s="393"/>
      <c r="M77" s="528"/>
      <c r="N77" s="404"/>
      <c r="O77" s="409"/>
      <c r="P77" s="490"/>
      <c r="Q77" s="393"/>
    </row>
    <row r="78" spans="1:17" x14ac:dyDescent="0.25">
      <c r="A78" s="485"/>
      <c r="B78" s="485"/>
      <c r="C78" s="405"/>
      <c r="D78" s="404"/>
      <c r="E78" s="409"/>
      <c r="F78" s="409"/>
      <c r="G78" s="393"/>
      <c r="H78" s="405"/>
      <c r="I78" s="404"/>
      <c r="J78" s="409"/>
      <c r="K78" s="409"/>
      <c r="L78" s="393"/>
      <c r="M78" s="528"/>
      <c r="N78" s="404"/>
      <c r="O78" s="409"/>
      <c r="P78" s="490"/>
      <c r="Q78" s="393"/>
    </row>
    <row r="79" spans="1:17" x14ac:dyDescent="0.25">
      <c r="A79" s="422" t="s">
        <v>218</v>
      </c>
      <c r="B79" s="422"/>
      <c r="C79" s="405"/>
      <c r="D79" s="389" t="s">
        <v>36</v>
      </c>
      <c r="E79" s="409"/>
      <c r="F79" s="409"/>
      <c r="G79" s="393"/>
      <c r="H79" s="404" t="s">
        <v>27</v>
      </c>
      <c r="I79" s="404"/>
      <c r="J79" s="409">
        <f>+K80</f>
        <v>74763.395462658475</v>
      </c>
      <c r="K79" s="409"/>
      <c r="L79" s="393"/>
      <c r="M79" s="403" t="str">
        <f t="shared" ref="M79" si="40">H79</f>
        <v>Interest receivable</v>
      </c>
      <c r="N79" s="404"/>
      <c r="O79" s="409">
        <f t="shared" ref="O79" si="41">J79</f>
        <v>74763.395462658475</v>
      </c>
      <c r="P79" s="490"/>
      <c r="Q79" s="393"/>
    </row>
    <row r="80" spans="1:17" x14ac:dyDescent="0.25">
      <c r="A80" s="485"/>
      <c r="B80" s="485"/>
      <c r="C80" s="405"/>
      <c r="D80" s="404"/>
      <c r="E80" s="409"/>
      <c r="F80" s="409"/>
      <c r="G80" s="393"/>
      <c r="H80" s="405"/>
      <c r="I80" s="404" t="s">
        <v>22</v>
      </c>
      <c r="J80" s="409"/>
      <c r="K80" s="409">
        <f>+'Ex. 3 Calcs-District'!D22</f>
        <v>74763.395462658475</v>
      </c>
      <c r="L80" s="393"/>
      <c r="M80" s="403"/>
      <c r="N80" s="404" t="str">
        <f t="shared" ref="N80" si="42">I80</f>
        <v>Interest income</v>
      </c>
      <c r="O80" s="409"/>
      <c r="P80" s="490">
        <f t="shared" ref="P80" si="43">K80</f>
        <v>74763.395462658475</v>
      </c>
      <c r="Q80" s="393"/>
    </row>
    <row r="81" spans="1:17" x14ac:dyDescent="0.25">
      <c r="A81" s="485"/>
      <c r="B81" s="485"/>
      <c r="C81" s="415"/>
      <c r="D81" s="404"/>
      <c r="E81" s="409"/>
      <c r="F81" s="409"/>
      <c r="G81" s="393"/>
      <c r="H81" s="405" t="s">
        <v>140</v>
      </c>
      <c r="I81" s="405"/>
      <c r="J81" s="409"/>
      <c r="K81" s="409"/>
      <c r="L81" s="393"/>
      <c r="M81" s="484" t="str">
        <f t="shared" ref="M81" si="44">H81</f>
        <v>[To record accrued interest receivable on lease]</v>
      </c>
      <c r="N81" s="405"/>
      <c r="O81" s="409"/>
      <c r="P81" s="490"/>
      <c r="Q81" s="393"/>
    </row>
    <row r="82" spans="1:17" x14ac:dyDescent="0.25">
      <c r="A82" s="485"/>
      <c r="B82" s="485"/>
      <c r="C82" s="405"/>
      <c r="D82" s="404"/>
      <c r="E82" s="409"/>
      <c r="F82" s="409"/>
      <c r="G82" s="393"/>
      <c r="H82" s="405"/>
      <c r="I82" s="404"/>
      <c r="J82" s="409"/>
      <c r="K82" s="409"/>
      <c r="L82" s="393"/>
      <c r="M82" s="528"/>
      <c r="N82" s="404"/>
      <c r="O82" s="409"/>
      <c r="P82" s="490"/>
      <c r="Q82" s="393"/>
    </row>
    <row r="83" spans="1:17" x14ac:dyDescent="0.25">
      <c r="A83" s="485"/>
      <c r="B83" s="485"/>
      <c r="C83" s="405"/>
      <c r="D83" s="404"/>
      <c r="E83" s="409"/>
      <c r="F83" s="409"/>
      <c r="G83" s="393"/>
      <c r="H83" s="405"/>
      <c r="I83" s="404"/>
      <c r="J83" s="409"/>
      <c r="K83" s="409"/>
      <c r="L83" s="393"/>
      <c r="M83" s="528"/>
      <c r="N83" s="404"/>
      <c r="O83" s="409"/>
      <c r="P83" s="490"/>
      <c r="Q83" s="393"/>
    </row>
    <row r="84" spans="1:17" x14ac:dyDescent="0.25">
      <c r="A84" s="422" t="s">
        <v>219</v>
      </c>
      <c r="B84" s="422"/>
      <c r="C84" s="405"/>
      <c r="D84" s="389" t="s">
        <v>36</v>
      </c>
      <c r="E84" s="409"/>
      <c r="F84" s="409"/>
      <c r="G84" s="393"/>
      <c r="H84" s="404" t="s">
        <v>24</v>
      </c>
      <c r="I84" s="404"/>
      <c r="J84" s="409">
        <f>+K85+K86</f>
        <v>864500</v>
      </c>
      <c r="K84" s="409"/>
      <c r="L84" s="393"/>
      <c r="M84" s="403" t="str">
        <f t="shared" ref="M84" si="45">H84</f>
        <v>Depreciation expense</v>
      </c>
      <c r="N84" s="404"/>
      <c r="O84" s="409">
        <f t="shared" ref="O84" si="46">J84</f>
        <v>864500</v>
      </c>
      <c r="P84" s="490"/>
      <c r="Q84" s="393"/>
    </row>
    <row r="85" spans="1:17" x14ac:dyDescent="0.25">
      <c r="A85" s="485"/>
      <c r="B85" s="485"/>
      <c r="C85" s="405"/>
      <c r="D85" s="404"/>
      <c r="E85" s="409"/>
      <c r="F85" s="409"/>
      <c r="G85" s="393"/>
      <c r="H85" s="405"/>
      <c r="I85" s="404" t="s">
        <v>25</v>
      </c>
      <c r="J85" s="409"/>
      <c r="K85" s="409">
        <f>+'Example 3 Assumptions Summary'!$E$15</f>
        <v>800000</v>
      </c>
      <c r="L85" s="393"/>
      <c r="M85" s="403"/>
      <c r="N85" s="404" t="str">
        <f t="shared" ref="N85:N86" si="47">I85</f>
        <v>Accumulated depreciation - building</v>
      </c>
      <c r="O85" s="409"/>
      <c r="P85" s="490">
        <f t="shared" ref="P85:P86" si="48">K85</f>
        <v>800000</v>
      </c>
    </row>
    <row r="86" spans="1:17" x14ac:dyDescent="0.25">
      <c r="A86" s="529"/>
      <c r="B86" s="529"/>
      <c r="C86" s="415"/>
      <c r="D86" s="415"/>
      <c r="E86" s="445"/>
      <c r="F86" s="445"/>
      <c r="G86" s="415"/>
      <c r="H86" s="415"/>
      <c r="I86" s="415" t="s">
        <v>138</v>
      </c>
      <c r="J86" s="445"/>
      <c r="K86" s="409">
        <f>+'Example 3 Assumptions Summary'!$E$16</f>
        <v>64500</v>
      </c>
      <c r="L86" s="415"/>
      <c r="M86" s="415"/>
      <c r="N86" s="415" t="str">
        <f t="shared" si="47"/>
        <v>Accumulated depreciation - furniture &amp; fixtures</v>
      </c>
      <c r="O86" s="445"/>
      <c r="P86" s="490">
        <f t="shared" si="48"/>
        <v>64500</v>
      </c>
    </row>
    <row r="87" spans="1:17" x14ac:dyDescent="0.25">
      <c r="A87" s="485"/>
      <c r="B87" s="485"/>
      <c r="C87" s="415"/>
      <c r="D87" s="404"/>
      <c r="E87" s="409"/>
      <c r="F87" s="409"/>
      <c r="G87" s="393"/>
      <c r="H87" s="405" t="s">
        <v>139</v>
      </c>
      <c r="I87" s="405"/>
      <c r="J87" s="409"/>
      <c r="K87" s="409"/>
      <c r="L87" s="393"/>
      <c r="M87" s="484" t="str">
        <f t="shared" ref="M87" si="49">H87</f>
        <v>[To record annual depreciation of underlying capital assets]</v>
      </c>
      <c r="N87" s="405"/>
      <c r="O87" s="409"/>
      <c r="P87" s="490"/>
    </row>
    <row r="88" spans="1:17" x14ac:dyDescent="0.25">
      <c r="E88" s="530">
        <f>SUM(E6:E87)-SUM(F6:F87)</f>
        <v>0</v>
      </c>
      <c r="J88" s="530">
        <f>SUM(J6:J87)-SUM(K6:K87)</f>
        <v>0</v>
      </c>
      <c r="O88" s="530">
        <f>SUM(O6:O87)-SUM(P6:P87)</f>
        <v>0</v>
      </c>
    </row>
    <row r="90" spans="1:17" x14ac:dyDescent="0.25">
      <c r="C90" s="734" t="s">
        <v>772</v>
      </c>
      <c r="D90" s="735"/>
      <c r="E90" s="735"/>
      <c r="F90" s="736"/>
      <c r="H90" s="734" t="s">
        <v>772</v>
      </c>
      <c r="I90" s="735"/>
      <c r="J90" s="735"/>
      <c r="K90" s="736"/>
      <c r="M90" s="734" t="s">
        <v>772</v>
      </c>
      <c r="N90" s="735"/>
      <c r="O90" s="735"/>
      <c r="P90" s="736"/>
    </row>
  </sheetData>
  <mergeCells count="7">
    <mergeCell ref="A1:P1"/>
    <mergeCell ref="C4:F4"/>
    <mergeCell ref="H4:K4"/>
    <mergeCell ref="M4:P4"/>
    <mergeCell ref="C90:F90"/>
    <mergeCell ref="H90:K90"/>
    <mergeCell ref="M90:P90"/>
  </mergeCells>
  <pageMargins left="0.7" right="0.7" top="0.75" bottom="0.75" header="0.3" footer="0.3"/>
  <pageSetup orientation="portrait" horizontalDpi="4294967295" verticalDpi="4294967295" r:id="rId1"/>
  <ignoredErrors>
    <ignoredError sqref="N37 P37 N65 P65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/>
  </sheetViews>
  <sheetFormatPr defaultColWidth="9" defaultRowHeight="15.75" x14ac:dyDescent="0.25"/>
  <cols>
    <col min="1" max="1" width="4.140625" style="429" customWidth="1"/>
    <col min="2" max="2" width="11.5703125" style="429" bestFit="1" customWidth="1"/>
    <col min="3" max="3" width="12.85546875" style="429" customWidth="1"/>
    <col min="4" max="4" width="9.140625" style="429" customWidth="1"/>
    <col min="5" max="5" width="10.28515625" style="429" customWidth="1"/>
    <col min="6" max="6" width="12.7109375" style="429" customWidth="1"/>
    <col min="7" max="7" width="5.7109375" style="429" customWidth="1"/>
    <col min="8" max="8" width="11.28515625" style="429" bestFit="1" customWidth="1"/>
    <col min="9" max="9" width="2.28515625" style="429" customWidth="1"/>
    <col min="10" max="10" width="12.28515625" style="429" customWidth="1"/>
    <col min="11" max="11" width="12.85546875" style="429" customWidth="1"/>
    <col min="12" max="12" width="15" style="429" customWidth="1"/>
    <col min="13" max="13" width="16.28515625" style="386" bestFit="1" customWidth="1"/>
    <col min="14" max="14" width="13.28515625" style="429" customWidth="1"/>
    <col min="15" max="16384" width="9" style="429"/>
  </cols>
  <sheetData>
    <row r="1" spans="1:12" x14ac:dyDescent="0.25">
      <c r="A1" s="387" t="s">
        <v>725</v>
      </c>
    </row>
    <row r="4" spans="1:12" ht="14.25" customHeight="1" x14ac:dyDescent="0.25">
      <c r="B4" s="785" t="s">
        <v>151</v>
      </c>
      <c r="C4" s="785"/>
      <c r="D4" s="785"/>
      <c r="E4" s="785"/>
      <c r="F4" s="415"/>
      <c r="H4" s="785" t="s">
        <v>152</v>
      </c>
      <c r="I4" s="785"/>
      <c r="J4" s="785"/>
      <c r="K4" s="785"/>
      <c r="L4" s="785"/>
    </row>
    <row r="5" spans="1:12" x14ac:dyDescent="0.25">
      <c r="B5" s="443">
        <f>+'Example 3 Assumptions Summary'!E8</f>
        <v>500000</v>
      </c>
      <c r="C5" s="437" t="s">
        <v>121</v>
      </c>
      <c r="D5" s="437"/>
      <c r="E5" s="437"/>
      <c r="F5" s="444"/>
      <c r="H5" s="506" t="s">
        <v>227</v>
      </c>
      <c r="L5" s="612">
        <f>+B12</f>
        <v>2725138.622657686</v>
      </c>
    </row>
    <row r="6" spans="1:12" x14ac:dyDescent="0.25">
      <c r="B6" s="444">
        <f>+'Example 3 Assumptions Summary'!E12</f>
        <v>100000</v>
      </c>
      <c r="C6" s="437" t="s">
        <v>864</v>
      </c>
      <c r="D6" s="437"/>
      <c r="E6" s="437"/>
      <c r="F6" s="437"/>
      <c r="H6" s="429" t="s">
        <v>228</v>
      </c>
      <c r="L6" s="432">
        <f>+B8</f>
        <v>350000</v>
      </c>
    </row>
    <row r="7" spans="1:12" ht="16.5" thickBot="1" x14ac:dyDescent="0.3">
      <c r="B7" s="507">
        <f>+'Example 3 Assumptions Summary'!E10+'Example 3 Assumptions Summary'!E11</f>
        <v>400000</v>
      </c>
      <c r="C7" s="444" t="s">
        <v>774</v>
      </c>
      <c r="D7" s="444"/>
      <c r="E7" s="444"/>
      <c r="F7" s="444"/>
      <c r="H7" s="386" t="s">
        <v>229</v>
      </c>
      <c r="L7" s="678">
        <f>SUM(L5:L6)</f>
        <v>3075138.622657686</v>
      </c>
    </row>
    <row r="8" spans="1:12" ht="16.5" thickTop="1" x14ac:dyDescent="0.25">
      <c r="B8" s="444">
        <f>+'Example 3 Assumptions Summary'!E10</f>
        <v>350000</v>
      </c>
      <c r="C8" s="444" t="s">
        <v>221</v>
      </c>
      <c r="D8" s="444"/>
      <c r="E8" s="444"/>
      <c r="F8" s="444"/>
      <c r="H8" s="386" t="s">
        <v>230</v>
      </c>
      <c r="L8" s="432">
        <f>+B13</f>
        <v>389305.44609395514</v>
      </c>
    </row>
    <row r="9" spans="1:12" x14ac:dyDescent="0.25">
      <c r="B9" s="444">
        <f>+'Example 3 Assumptions Summary'!E11</f>
        <v>50000</v>
      </c>
      <c r="C9" s="444" t="s">
        <v>222</v>
      </c>
      <c r="D9" s="444"/>
      <c r="E9" s="444"/>
      <c r="F9" s="444"/>
      <c r="H9" s="386" t="s">
        <v>231</v>
      </c>
      <c r="I9" s="448"/>
      <c r="L9" s="432">
        <f>+B9</f>
        <v>50000</v>
      </c>
    </row>
    <row r="10" spans="1:12" x14ac:dyDescent="0.25">
      <c r="B10" s="444">
        <v>9</v>
      </c>
      <c r="C10" s="444" t="s">
        <v>865</v>
      </c>
      <c r="D10" s="444"/>
      <c r="E10" s="444"/>
      <c r="F10" s="444"/>
      <c r="H10" s="386" t="s">
        <v>232</v>
      </c>
      <c r="L10" s="679">
        <f>SUM(L8:L9)</f>
        <v>439305.44609395514</v>
      </c>
    </row>
    <row r="11" spans="1:12" ht="16.5" thickBot="1" x14ac:dyDescent="0.3">
      <c r="B11" s="509">
        <v>0.03</v>
      </c>
      <c r="C11" s="444" t="s">
        <v>130</v>
      </c>
      <c r="D11" s="444"/>
      <c r="E11" s="444"/>
      <c r="F11" s="444"/>
      <c r="H11" s="386" t="s">
        <v>226</v>
      </c>
      <c r="L11" s="678">
        <f>+L7+L10</f>
        <v>3514444.0687516411</v>
      </c>
    </row>
    <row r="12" spans="1:12" ht="16.5" thickTop="1" x14ac:dyDescent="0.25">
      <c r="B12" s="507">
        <f>-PV($B$11,$B$10,B8)+0.5</f>
        <v>2725138.622657686</v>
      </c>
      <c r="C12" s="449" t="s">
        <v>235</v>
      </c>
      <c r="D12" s="449"/>
      <c r="E12" s="449"/>
      <c r="F12" s="449"/>
      <c r="L12" s="510"/>
    </row>
    <row r="13" spans="1:12" x14ac:dyDescent="0.25">
      <c r="B13" s="507">
        <f>-PV($B$11,$B$10,B9)</f>
        <v>389305.44609395514</v>
      </c>
      <c r="C13" s="449" t="s">
        <v>223</v>
      </c>
      <c r="D13" s="449"/>
    </row>
    <row r="14" spans="1:12" ht="16.5" thickBot="1" x14ac:dyDescent="0.3">
      <c r="B14" s="511">
        <f>+B12+B13</f>
        <v>3114444.0687516411</v>
      </c>
      <c r="C14" s="437" t="s">
        <v>225</v>
      </c>
      <c r="D14" s="437"/>
      <c r="E14" s="437"/>
      <c r="F14" s="437"/>
      <c r="K14" s="512"/>
    </row>
    <row r="15" spans="1:12" ht="16.5" thickTop="1" x14ac:dyDescent="0.25">
      <c r="B15" s="513"/>
      <c r="C15" s="437"/>
      <c r="D15" s="437"/>
      <c r="E15" s="437"/>
      <c r="F15" s="437"/>
      <c r="K15" s="512"/>
    </row>
    <row r="16" spans="1:12" x14ac:dyDescent="0.25">
      <c r="B16" s="514"/>
      <c r="C16" s="515"/>
      <c r="D16" s="515"/>
      <c r="E16" s="515"/>
      <c r="F16" s="515"/>
      <c r="G16" s="436"/>
      <c r="I16" s="512">
        <f>SUM(J20:J30)-J19</f>
        <v>10.377342313993722</v>
      </c>
      <c r="J16" s="512">
        <f>ROUND(SUM(J21:J30)-J19,0)</f>
        <v>0</v>
      </c>
      <c r="K16" s="512">
        <f>ROUND(SUM(K21:K30)-K19,0)</f>
        <v>0</v>
      </c>
      <c r="L16" s="512">
        <f>ROUND(SUM(L21:L30)-L11,0)</f>
        <v>0</v>
      </c>
    </row>
    <row r="17" spans="1:12" ht="33" customHeight="1" x14ac:dyDescent="0.25">
      <c r="B17" s="798" t="s">
        <v>153</v>
      </c>
      <c r="C17" s="799"/>
      <c r="D17" s="799"/>
      <c r="E17" s="799"/>
      <c r="F17" s="800"/>
      <c r="G17" s="456"/>
      <c r="H17" s="794" t="s">
        <v>619</v>
      </c>
      <c r="I17" s="795"/>
      <c r="J17" s="795"/>
      <c r="K17" s="795"/>
      <c r="L17" s="796"/>
    </row>
    <row r="18" spans="1:12" s="423" customFormat="1" ht="43.15" customHeight="1" x14ac:dyDescent="0.25">
      <c r="B18" s="797" t="s">
        <v>7</v>
      </c>
      <c r="C18" s="516" t="s">
        <v>145</v>
      </c>
      <c r="D18" s="517" t="s">
        <v>113</v>
      </c>
      <c r="E18" s="792" t="s">
        <v>34</v>
      </c>
      <c r="F18" s="792" t="s">
        <v>34</v>
      </c>
      <c r="G18" s="458"/>
      <c r="H18" s="787"/>
      <c r="I18" s="787"/>
      <c r="J18" s="516" t="s">
        <v>116</v>
      </c>
      <c r="K18" s="516" t="s">
        <v>224</v>
      </c>
      <c r="L18" s="516" t="s">
        <v>129</v>
      </c>
    </row>
    <row r="19" spans="1:12" s="423" customFormat="1" ht="14.25" customHeight="1" x14ac:dyDescent="0.25">
      <c r="B19" s="797"/>
      <c r="C19" s="518">
        <v>400000</v>
      </c>
      <c r="D19" s="519">
        <f>+B11</f>
        <v>0.03</v>
      </c>
      <c r="E19" s="793"/>
      <c r="F19" s="793"/>
      <c r="G19" s="459"/>
      <c r="H19" s="787" t="s">
        <v>220</v>
      </c>
      <c r="I19" s="787"/>
      <c r="J19" s="520">
        <f>+L7</f>
        <v>3075138.622657686</v>
      </c>
      <c r="K19" s="521">
        <f>+L10</f>
        <v>439305.44609395514</v>
      </c>
      <c r="L19" s="521">
        <f>+J19+K19</f>
        <v>3514444.0687516411</v>
      </c>
    </row>
    <row r="20" spans="1:12" x14ac:dyDescent="0.25">
      <c r="B20" s="465"/>
      <c r="C20" s="465"/>
      <c r="D20" s="465"/>
      <c r="E20" s="522"/>
      <c r="F20" s="467"/>
      <c r="G20" s="444"/>
      <c r="H20" s="787" t="s">
        <v>128</v>
      </c>
      <c r="I20" s="787"/>
      <c r="J20" s="398">
        <v>10</v>
      </c>
      <c r="K20" s="398">
        <v>10</v>
      </c>
      <c r="L20" s="398"/>
    </row>
    <row r="21" spans="1:12" x14ac:dyDescent="0.25">
      <c r="B21" s="523" t="str">
        <f>+'Example 3 Assumptions Summary'!E5</f>
        <v>7/1/X1</v>
      </c>
      <c r="C21" s="465">
        <f>+$B$7</f>
        <v>400000</v>
      </c>
      <c r="D21" s="465"/>
      <c r="E21" s="524">
        <f>+C21-D21</f>
        <v>400000</v>
      </c>
      <c r="F21" s="471">
        <f>+B14</f>
        <v>3114444.0687516411</v>
      </c>
      <c r="G21" s="454"/>
      <c r="H21" s="788" t="s">
        <v>26</v>
      </c>
      <c r="I21" s="789"/>
      <c r="J21" s="471">
        <f>ROUND(+$J$19/$J$20,0)</f>
        <v>307514</v>
      </c>
      <c r="K21" s="471">
        <f>ROUND(+$K$19/$K$20,0)</f>
        <v>43931</v>
      </c>
      <c r="L21" s="471">
        <f>+J21+K21</f>
        <v>351445</v>
      </c>
    </row>
    <row r="22" spans="1:12" x14ac:dyDescent="0.25">
      <c r="A22" s="429">
        <v>1</v>
      </c>
      <c r="B22" s="523" t="s">
        <v>204</v>
      </c>
      <c r="C22" s="471">
        <f t="shared" ref="C22:C30" si="0">+$B$7</f>
        <v>400000</v>
      </c>
      <c r="D22" s="471">
        <f>+F21*$D$19</f>
        <v>93433.322062549225</v>
      </c>
      <c r="E22" s="524">
        <f>+C22-D22</f>
        <v>306566.67793745076</v>
      </c>
      <c r="F22" s="471">
        <f>+F21-E22</f>
        <v>2807877.3908141903</v>
      </c>
      <c r="G22" s="454"/>
      <c r="H22" s="788" t="s">
        <v>9</v>
      </c>
      <c r="I22" s="789"/>
      <c r="J22" s="471">
        <f t="shared" ref="J22:J28" si="1">ROUND(+$J$19/$J$20,0)</f>
        <v>307514</v>
      </c>
      <c r="K22" s="471">
        <f t="shared" ref="K22:K25" si="2">ROUND(+$K$19/$K$20,0)</f>
        <v>43931</v>
      </c>
      <c r="L22" s="471">
        <f t="shared" ref="L22:L30" si="3">+J22+K22</f>
        <v>351445</v>
      </c>
    </row>
    <row r="23" spans="1:12" x14ac:dyDescent="0.25">
      <c r="A23" s="429">
        <v>2</v>
      </c>
      <c r="B23" s="523" t="s">
        <v>205</v>
      </c>
      <c r="C23" s="471">
        <f t="shared" si="0"/>
        <v>400000</v>
      </c>
      <c r="D23" s="471">
        <f t="shared" ref="D23:D29" si="4">+F22*$D$19</f>
        <v>84236.32172442571</v>
      </c>
      <c r="E23" s="524">
        <f t="shared" ref="E23:E29" si="5">+C23-D23</f>
        <v>315763.67827557429</v>
      </c>
      <c r="F23" s="471">
        <f t="shared" ref="F23:F29" si="6">+F22-E23</f>
        <v>2492113.7125386158</v>
      </c>
      <c r="G23" s="454"/>
      <c r="H23" s="788" t="s">
        <v>10</v>
      </c>
      <c r="I23" s="789"/>
      <c r="J23" s="471">
        <f t="shared" si="1"/>
        <v>307514</v>
      </c>
      <c r="K23" s="471">
        <f t="shared" si="2"/>
        <v>43931</v>
      </c>
      <c r="L23" s="471">
        <f t="shared" si="3"/>
        <v>351445</v>
      </c>
    </row>
    <row r="24" spans="1:12" x14ac:dyDescent="0.25">
      <c r="A24" s="429">
        <v>3</v>
      </c>
      <c r="B24" s="523" t="s">
        <v>206</v>
      </c>
      <c r="C24" s="471">
        <f t="shared" si="0"/>
        <v>400000</v>
      </c>
      <c r="D24" s="471">
        <f t="shared" si="4"/>
        <v>74763.411376158474</v>
      </c>
      <c r="E24" s="524">
        <f t="shared" si="5"/>
        <v>325236.58862384153</v>
      </c>
      <c r="F24" s="471">
        <f t="shared" si="6"/>
        <v>2166877.1239147745</v>
      </c>
      <c r="G24" s="454"/>
      <c r="H24" s="788" t="s">
        <v>11</v>
      </c>
      <c r="I24" s="789"/>
      <c r="J24" s="471">
        <f t="shared" si="1"/>
        <v>307514</v>
      </c>
      <c r="K24" s="471">
        <f t="shared" si="2"/>
        <v>43931</v>
      </c>
      <c r="L24" s="471">
        <f t="shared" si="3"/>
        <v>351445</v>
      </c>
    </row>
    <row r="25" spans="1:12" x14ac:dyDescent="0.25">
      <c r="A25" s="429">
        <v>4</v>
      </c>
      <c r="B25" s="523" t="s">
        <v>207</v>
      </c>
      <c r="C25" s="471">
        <f t="shared" si="0"/>
        <v>400000</v>
      </c>
      <c r="D25" s="471">
        <f t="shared" si="4"/>
        <v>65006.313717443234</v>
      </c>
      <c r="E25" s="524">
        <f t="shared" si="5"/>
        <v>334993.68628255674</v>
      </c>
      <c r="F25" s="471">
        <f t="shared" si="6"/>
        <v>1831883.4376322178</v>
      </c>
      <c r="G25" s="454"/>
      <c r="H25" s="788" t="s">
        <v>12</v>
      </c>
      <c r="I25" s="789"/>
      <c r="J25" s="471">
        <f>ROUND(+$J$19/$J$20,0)-1</f>
        <v>307513</v>
      </c>
      <c r="K25" s="471">
        <f t="shared" si="2"/>
        <v>43931</v>
      </c>
      <c r="L25" s="471">
        <f t="shared" si="3"/>
        <v>351444</v>
      </c>
    </row>
    <row r="26" spans="1:12" x14ac:dyDescent="0.25">
      <c r="A26" s="429">
        <v>5</v>
      </c>
      <c r="B26" s="523" t="s">
        <v>208</v>
      </c>
      <c r="C26" s="471">
        <f t="shared" si="0"/>
        <v>400000</v>
      </c>
      <c r="D26" s="471">
        <f t="shared" si="4"/>
        <v>54956.503128966528</v>
      </c>
      <c r="E26" s="524">
        <f t="shared" si="5"/>
        <v>345043.49687103345</v>
      </c>
      <c r="F26" s="471">
        <f t="shared" si="6"/>
        <v>1486839.9407611843</v>
      </c>
      <c r="G26" s="454"/>
      <c r="H26" s="788" t="s">
        <v>13</v>
      </c>
      <c r="I26" s="789"/>
      <c r="J26" s="471">
        <f t="shared" si="1"/>
        <v>307514</v>
      </c>
      <c r="K26" s="471">
        <f>ROUND(+$K$19/$K$20,0)-1</f>
        <v>43930</v>
      </c>
      <c r="L26" s="471">
        <f t="shared" si="3"/>
        <v>351444</v>
      </c>
    </row>
    <row r="27" spans="1:12" x14ac:dyDescent="0.25">
      <c r="A27" s="429">
        <v>6</v>
      </c>
      <c r="B27" s="523" t="s">
        <v>209</v>
      </c>
      <c r="C27" s="471">
        <f t="shared" si="0"/>
        <v>400000</v>
      </c>
      <c r="D27" s="471">
        <f t="shared" si="4"/>
        <v>44605.198222835526</v>
      </c>
      <c r="E27" s="524">
        <f t="shared" si="5"/>
        <v>355394.80177716445</v>
      </c>
      <c r="F27" s="471">
        <f t="shared" si="6"/>
        <v>1131445.1389840199</v>
      </c>
      <c r="G27" s="454"/>
      <c r="H27" s="788" t="s">
        <v>14</v>
      </c>
      <c r="I27" s="789"/>
      <c r="J27" s="471">
        <f t="shared" si="1"/>
        <v>307514</v>
      </c>
      <c r="K27" s="471">
        <f>ROUND(+$K$19/$K$20,0)-1</f>
        <v>43930</v>
      </c>
      <c r="L27" s="471">
        <f t="shared" si="3"/>
        <v>351444</v>
      </c>
    </row>
    <row r="28" spans="1:12" x14ac:dyDescent="0.25">
      <c r="A28" s="429">
        <v>7</v>
      </c>
      <c r="B28" s="523" t="s">
        <v>210</v>
      </c>
      <c r="C28" s="471">
        <f t="shared" si="0"/>
        <v>400000</v>
      </c>
      <c r="D28" s="471">
        <f t="shared" si="4"/>
        <v>33943.354169520593</v>
      </c>
      <c r="E28" s="524">
        <f t="shared" si="5"/>
        <v>366056.64583047939</v>
      </c>
      <c r="F28" s="471">
        <f t="shared" si="6"/>
        <v>765388.49315354042</v>
      </c>
      <c r="G28" s="454"/>
      <c r="H28" s="788" t="s">
        <v>15</v>
      </c>
      <c r="I28" s="789"/>
      <c r="J28" s="471">
        <f t="shared" si="1"/>
        <v>307514</v>
      </c>
      <c r="K28" s="471">
        <f>ROUND(+$K$19/$K$20,0)-1</f>
        <v>43930</v>
      </c>
      <c r="L28" s="471">
        <f t="shared" si="3"/>
        <v>351444</v>
      </c>
    </row>
    <row r="29" spans="1:12" x14ac:dyDescent="0.25">
      <c r="A29" s="429">
        <v>8</v>
      </c>
      <c r="B29" s="523" t="s">
        <v>211</v>
      </c>
      <c r="C29" s="471">
        <f t="shared" si="0"/>
        <v>400000</v>
      </c>
      <c r="D29" s="471">
        <f t="shared" si="4"/>
        <v>22961.654794606213</v>
      </c>
      <c r="E29" s="524">
        <f t="shared" si="5"/>
        <v>377038.34520539379</v>
      </c>
      <c r="F29" s="471">
        <f t="shared" si="6"/>
        <v>388350.14794814662</v>
      </c>
      <c r="G29" s="454"/>
      <c r="H29" s="788" t="s">
        <v>16</v>
      </c>
      <c r="I29" s="789"/>
      <c r="J29" s="471">
        <f>ROUND(+$J$19/$J$20,0)</f>
        <v>307514</v>
      </c>
      <c r="K29" s="471">
        <f>ROUND(+$K$19/$K$20,0)-1</f>
        <v>43930</v>
      </c>
      <c r="L29" s="471">
        <f t="shared" si="3"/>
        <v>351444</v>
      </c>
    </row>
    <row r="30" spans="1:12" x14ac:dyDescent="0.25">
      <c r="A30" s="429">
        <v>9</v>
      </c>
      <c r="B30" s="525" t="s">
        <v>212</v>
      </c>
      <c r="C30" s="477">
        <f t="shared" si="0"/>
        <v>400000</v>
      </c>
      <c r="D30" s="477">
        <f>+F29*$D$19-1</f>
        <v>11649.504438444399</v>
      </c>
      <c r="E30" s="526">
        <f>+C30-D30</f>
        <v>388350.49556155561</v>
      </c>
      <c r="F30" s="477">
        <f>ROUND(+F29-E30,0)</f>
        <v>0</v>
      </c>
      <c r="G30" s="444"/>
      <c r="H30" s="790" t="s">
        <v>214</v>
      </c>
      <c r="I30" s="791"/>
      <c r="J30" s="477">
        <f>ROUND(+$J$19/$J$20,0)</f>
        <v>307514</v>
      </c>
      <c r="K30" s="477">
        <f>ROUND(+$K$19/$K$20,0)-1</f>
        <v>43930</v>
      </c>
      <c r="L30" s="477">
        <f t="shared" si="3"/>
        <v>351444</v>
      </c>
    </row>
    <row r="31" spans="1:12" x14ac:dyDescent="0.25">
      <c r="D31" s="423" t="s">
        <v>655</v>
      </c>
      <c r="H31" s="527"/>
      <c r="J31" s="429" t="s">
        <v>239</v>
      </c>
    </row>
  </sheetData>
  <mergeCells count="20">
    <mergeCell ref="E18:E19"/>
    <mergeCell ref="F18:F19"/>
    <mergeCell ref="H17:L17"/>
    <mergeCell ref="H4:L4"/>
    <mergeCell ref="B4:E4"/>
    <mergeCell ref="B18:B19"/>
    <mergeCell ref="B17:F17"/>
    <mergeCell ref="H18:I18"/>
    <mergeCell ref="H19:I19"/>
    <mergeCell ref="H20:I20"/>
    <mergeCell ref="H21:I21"/>
    <mergeCell ref="H22:I22"/>
    <mergeCell ref="H23:I23"/>
    <mergeCell ref="H30:I30"/>
    <mergeCell ref="H24:I24"/>
    <mergeCell ref="H25:I25"/>
    <mergeCell ref="H26:I26"/>
    <mergeCell ref="H27:I27"/>
    <mergeCell ref="H28:I28"/>
    <mergeCell ref="H29:I29"/>
  </mergeCells>
  <pageMargins left="0.7" right="0.7" top="0.75" bottom="0.75" header="0.3" footer="0.3"/>
  <pageSetup orientation="landscape" horizontalDpi="1200" verticalDpi="1200" r:id="rId1"/>
  <ignoredErrors>
    <ignoredError sqref="J25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8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9" defaultRowHeight="15.75" x14ac:dyDescent="0.25"/>
  <cols>
    <col min="1" max="1" width="12.140625" style="498" customWidth="1"/>
    <col min="2" max="2" width="5" style="498" customWidth="1"/>
    <col min="3" max="3" width="5.5703125" style="389" customWidth="1"/>
    <col min="4" max="4" width="45.42578125" style="389" customWidth="1"/>
    <col min="5" max="6" width="11.5703125" style="388" bestFit="1" customWidth="1"/>
    <col min="7" max="7" width="3.7109375" style="389" customWidth="1"/>
    <col min="8" max="8" width="5.5703125" style="389" customWidth="1"/>
    <col min="9" max="9" width="47.5703125" style="389" customWidth="1"/>
    <col min="10" max="11" width="11.5703125" style="388" bestFit="1" customWidth="1"/>
    <col min="12" max="12" width="4.7109375" style="389" customWidth="1"/>
    <col min="13" max="13" width="5.5703125" style="389" customWidth="1"/>
    <col min="14" max="14" width="45.85546875" style="389" customWidth="1"/>
    <col min="15" max="16" width="11.5703125" style="388" bestFit="1" customWidth="1"/>
    <col min="17" max="16384" width="9" style="389"/>
  </cols>
  <sheetData>
    <row r="1" spans="1:17" ht="14.65" customHeight="1" x14ac:dyDescent="0.25">
      <c r="A1" s="732" t="s">
        <v>159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</row>
    <row r="2" spans="1:17" x14ac:dyDescent="0.25">
      <c r="A2" s="498" t="s">
        <v>725</v>
      </c>
      <c r="H2" s="390"/>
    </row>
    <row r="3" spans="1:17" x14ac:dyDescent="0.25">
      <c r="A3" s="389"/>
      <c r="B3" s="389"/>
      <c r="C3" s="393"/>
      <c r="D3" s="393"/>
      <c r="E3" s="392"/>
      <c r="F3" s="392"/>
      <c r="G3" s="393"/>
      <c r="H3" s="393"/>
      <c r="I3" s="393"/>
      <c r="J3" s="392"/>
      <c r="K3" s="392"/>
      <c r="L3" s="393"/>
      <c r="M3" s="393"/>
      <c r="N3" s="393"/>
      <c r="O3" s="392"/>
      <c r="P3" s="392"/>
      <c r="Q3" s="393"/>
    </row>
    <row r="4" spans="1:17" ht="15.75" customHeight="1" x14ac:dyDescent="0.25">
      <c r="A4" s="391"/>
      <c r="B4" s="391"/>
      <c r="C4" s="737" t="s">
        <v>19</v>
      </c>
      <c r="D4" s="738"/>
      <c r="E4" s="738"/>
      <c r="F4" s="739"/>
      <c r="G4" s="393"/>
      <c r="H4" s="737" t="s">
        <v>818</v>
      </c>
      <c r="I4" s="738"/>
      <c r="J4" s="738"/>
      <c r="K4" s="739"/>
      <c r="L4" s="393"/>
      <c r="M4" s="737" t="s">
        <v>20</v>
      </c>
      <c r="N4" s="738"/>
      <c r="O4" s="738"/>
      <c r="P4" s="739"/>
      <c r="Q4" s="393"/>
    </row>
    <row r="5" spans="1:17" x14ac:dyDescent="0.25">
      <c r="A5" s="391"/>
      <c r="B5" s="391"/>
      <c r="C5" s="397"/>
      <c r="D5" s="397"/>
      <c r="E5" s="395" t="s">
        <v>0</v>
      </c>
      <c r="F5" s="395" t="s">
        <v>1</v>
      </c>
      <c r="G5" s="393"/>
      <c r="H5" s="397"/>
      <c r="I5" s="397"/>
      <c r="J5" s="395" t="s">
        <v>0</v>
      </c>
      <c r="K5" s="395" t="s">
        <v>1</v>
      </c>
      <c r="L5" s="393"/>
      <c r="M5" s="397"/>
      <c r="N5" s="397"/>
      <c r="O5" s="395" t="s">
        <v>0</v>
      </c>
      <c r="P5" s="395" t="s">
        <v>1</v>
      </c>
      <c r="Q5" s="393"/>
    </row>
    <row r="6" spans="1:17" ht="14.65" customHeight="1" x14ac:dyDescent="0.25">
      <c r="A6" s="398" t="s">
        <v>26</v>
      </c>
      <c r="B6" s="422"/>
      <c r="C6" s="396"/>
      <c r="D6" s="396"/>
      <c r="E6" s="499"/>
      <c r="F6" s="499"/>
      <c r="G6" s="393"/>
      <c r="H6" s="396"/>
      <c r="I6" s="396"/>
      <c r="J6" s="499"/>
      <c r="K6" s="499"/>
      <c r="L6" s="393"/>
      <c r="M6" s="396"/>
      <c r="N6" s="396"/>
      <c r="O6" s="499"/>
      <c r="P6" s="499"/>
      <c r="Q6" s="393"/>
    </row>
    <row r="7" spans="1:17" x14ac:dyDescent="0.25">
      <c r="A7" s="391"/>
      <c r="B7" s="391"/>
      <c r="C7" s="404"/>
      <c r="D7" s="404"/>
      <c r="E7" s="409"/>
      <c r="F7" s="409"/>
      <c r="G7" s="393"/>
      <c r="L7" s="393"/>
      <c r="Q7" s="393"/>
    </row>
    <row r="8" spans="1:17" ht="14.65" customHeight="1" x14ac:dyDescent="0.25">
      <c r="A8" s="400" t="str">
        <f>+'Ex. 3 Entries - District'!A7</f>
        <v>7/1/20X1</v>
      </c>
      <c r="B8" s="400"/>
      <c r="C8" s="389" t="s">
        <v>78</v>
      </c>
      <c r="E8" s="388">
        <f>ROUND(+'Ex. 3 Calcs-College'!L11,0)</f>
        <v>3514444</v>
      </c>
      <c r="G8" s="393"/>
      <c r="H8" s="404" t="str">
        <f>+D10</f>
        <v>Other financing source</v>
      </c>
      <c r="I8" s="404"/>
      <c r="J8" s="409">
        <f>+F10</f>
        <v>3114444</v>
      </c>
      <c r="K8" s="409"/>
      <c r="L8" s="393"/>
      <c r="M8" s="404" t="str">
        <f>+H9</f>
        <v>Lease asset - building</v>
      </c>
      <c r="N8" s="404"/>
      <c r="O8" s="409">
        <f>+J9</f>
        <v>3075139</v>
      </c>
      <c r="P8" s="409"/>
      <c r="Q8" s="393"/>
    </row>
    <row r="9" spans="1:17" ht="14.65" customHeight="1" x14ac:dyDescent="0.25">
      <c r="A9" s="400"/>
      <c r="B9" s="400"/>
      <c r="C9" s="493" t="s">
        <v>745</v>
      </c>
      <c r="E9" s="388">
        <f>ROUND(+'Ex. 3 Calcs-College'!B6,0)</f>
        <v>100000</v>
      </c>
      <c r="G9" s="393"/>
      <c r="H9" s="389" t="s">
        <v>233</v>
      </c>
      <c r="J9" s="409">
        <f>ROUND(+'Ex. 3 Calcs-College'!L7,0)</f>
        <v>3075139</v>
      </c>
      <c r="K9" s="389"/>
      <c r="L9" s="393"/>
      <c r="M9" s="389" t="str">
        <f>+H10</f>
        <v>Lease asset - furniture &amp; fixtures</v>
      </c>
      <c r="O9" s="388">
        <f>+J10</f>
        <v>439305</v>
      </c>
      <c r="P9" s="409"/>
      <c r="Q9" s="393"/>
    </row>
    <row r="10" spans="1:17" ht="14.65" customHeight="1" x14ac:dyDescent="0.25">
      <c r="A10" s="391"/>
      <c r="B10" s="391"/>
      <c r="D10" s="389" t="s">
        <v>79</v>
      </c>
      <c r="F10" s="388">
        <f>ROUND(+'Ex. 3 Calcs-College'!B14,0)</f>
        <v>3114444</v>
      </c>
      <c r="G10" s="393"/>
      <c r="H10" s="389" t="s">
        <v>234</v>
      </c>
      <c r="J10" s="388">
        <f>ROUND(+'Ex. 3 Calcs-College'!L10,0)</f>
        <v>439305</v>
      </c>
      <c r="M10" s="404" t="str">
        <f>+C9</f>
        <v>Prepaid services - academic programs</v>
      </c>
      <c r="N10" s="404"/>
      <c r="O10" s="409">
        <f>+E9</f>
        <v>100000</v>
      </c>
      <c r="Q10" s="393"/>
    </row>
    <row r="11" spans="1:17" x14ac:dyDescent="0.25">
      <c r="A11" s="391"/>
      <c r="B11" s="391"/>
      <c r="D11" s="389" t="s">
        <v>2</v>
      </c>
      <c r="F11" s="409">
        <f>+'Ex. 3 Calcs-College'!B5</f>
        <v>500000</v>
      </c>
      <c r="G11" s="393"/>
      <c r="H11" s="404"/>
      <c r="I11" s="404" t="s">
        <v>71</v>
      </c>
      <c r="J11" s="409"/>
      <c r="K11" s="409">
        <f>+F10</f>
        <v>3114444</v>
      </c>
      <c r="L11" s="393"/>
      <c r="M11" s="404"/>
      <c r="N11" s="404" t="str">
        <f>+I11</f>
        <v>Lease liability</v>
      </c>
      <c r="O11" s="409"/>
      <c r="P11" s="409">
        <f>+K11</f>
        <v>3114444</v>
      </c>
      <c r="Q11" s="393"/>
    </row>
    <row r="12" spans="1:17" x14ac:dyDescent="0.25">
      <c r="A12" s="391"/>
      <c r="B12" s="391"/>
      <c r="C12" s="405" t="s">
        <v>69</v>
      </c>
      <c r="G12" s="393"/>
      <c r="I12" s="389" t="str">
        <f>+C8</f>
        <v>Capital outlay</v>
      </c>
      <c r="K12" s="388">
        <f>+E8</f>
        <v>3514444</v>
      </c>
      <c r="M12" s="405"/>
      <c r="N12" s="404" t="str">
        <f>+D11</f>
        <v>Cash</v>
      </c>
      <c r="O12" s="409"/>
      <c r="P12" s="409">
        <f>+F11</f>
        <v>500000</v>
      </c>
      <c r="Q12" s="393"/>
    </row>
    <row r="13" spans="1:17" ht="15" customHeight="1" x14ac:dyDescent="0.25">
      <c r="A13" s="391"/>
      <c r="B13" s="391"/>
      <c r="C13" s="405" t="s">
        <v>775</v>
      </c>
      <c r="D13" s="404"/>
      <c r="E13" s="409"/>
      <c r="F13" s="409"/>
      <c r="G13" s="393"/>
      <c r="H13" s="405" t="str">
        <f t="shared" ref="H13:H14" si="0">C12</f>
        <v>[To record inception of lease with Example ISD and</v>
      </c>
      <c r="J13" s="424"/>
      <c r="L13" s="393"/>
      <c r="M13" s="405" t="str">
        <f t="shared" ref="M13:M14" si="1">C12</f>
        <v>[To record inception of lease with Example ISD and</v>
      </c>
      <c r="O13" s="409"/>
      <c r="P13" s="409"/>
      <c r="Q13" s="393"/>
    </row>
    <row r="14" spans="1:17" x14ac:dyDescent="0.25">
      <c r="A14" s="391"/>
      <c r="B14" s="391"/>
      <c r="H14" s="405" t="str">
        <f t="shared" si="0"/>
        <v>payment of first year's contractual payment for lease and non-lease components]</v>
      </c>
      <c r="I14" s="405"/>
      <c r="J14" s="409"/>
      <c r="K14" s="409"/>
      <c r="L14" s="393"/>
      <c r="M14" s="405" t="str">
        <f t="shared" si="1"/>
        <v>payment of first year's contractual payment for lease and non-lease components]</v>
      </c>
      <c r="N14" s="405"/>
      <c r="O14" s="409"/>
      <c r="P14" s="409"/>
      <c r="Q14" s="393"/>
    </row>
    <row r="15" spans="1:17" x14ac:dyDescent="0.25">
      <c r="A15" s="391"/>
      <c r="B15" s="391"/>
      <c r="J15" s="389"/>
      <c r="K15" s="389"/>
      <c r="L15" s="393"/>
      <c r="M15" s="404"/>
      <c r="N15" s="404"/>
      <c r="O15" s="409"/>
      <c r="P15" s="409"/>
      <c r="Q15" s="393"/>
    </row>
    <row r="16" spans="1:17" x14ac:dyDescent="0.25">
      <c r="A16" s="391"/>
      <c r="B16" s="391"/>
      <c r="J16" s="389"/>
      <c r="K16" s="389"/>
      <c r="L16" s="393"/>
      <c r="M16" s="404"/>
      <c r="N16" s="404"/>
      <c r="O16" s="409"/>
      <c r="P16" s="409"/>
      <c r="Q16" s="393"/>
    </row>
    <row r="17" spans="1:17" x14ac:dyDescent="0.25">
      <c r="A17" s="391"/>
      <c r="B17" s="391"/>
      <c r="D17" s="404"/>
      <c r="E17" s="409"/>
      <c r="F17" s="409"/>
      <c r="G17" s="393"/>
      <c r="H17" s="404"/>
      <c r="I17" s="404"/>
      <c r="J17" s="409"/>
      <c r="K17" s="409"/>
      <c r="L17" s="393"/>
      <c r="O17" s="409"/>
      <c r="P17" s="409"/>
      <c r="Q17" s="393"/>
    </row>
    <row r="18" spans="1:17" x14ac:dyDescent="0.25">
      <c r="A18" s="400" t="str">
        <f>+'Ex. 3 Entries - District'!A15</f>
        <v>6/30/20X2 a</v>
      </c>
      <c r="B18" s="400"/>
      <c r="C18" s="389" t="s">
        <v>744</v>
      </c>
      <c r="D18" s="404"/>
      <c r="E18" s="388">
        <f>+F19</f>
        <v>100000</v>
      </c>
      <c r="G18" s="393"/>
      <c r="H18" s="493" t="s">
        <v>735</v>
      </c>
      <c r="I18" s="484"/>
      <c r="J18" s="409">
        <f>ROUND(+'Ex. 3 Calcs-College'!L21,0)</f>
        <v>351445</v>
      </c>
      <c r="K18" s="409"/>
      <c r="L18" s="393"/>
      <c r="M18" s="389" t="str">
        <f>+C18</f>
        <v>Expenditure/expense - academic programs</v>
      </c>
      <c r="N18" s="404"/>
      <c r="O18" s="409">
        <f>+E18</f>
        <v>100000</v>
      </c>
      <c r="P18" s="409"/>
      <c r="Q18" s="393"/>
    </row>
    <row r="19" spans="1:17" x14ac:dyDescent="0.25">
      <c r="A19" s="391"/>
      <c r="B19" s="391"/>
      <c r="D19" s="389" t="str">
        <f>+C9</f>
        <v>Prepaid services - academic programs</v>
      </c>
      <c r="F19" s="388">
        <f>+E9</f>
        <v>100000</v>
      </c>
      <c r="G19" s="393"/>
      <c r="H19" s="397"/>
      <c r="I19" s="389" t="s">
        <v>640</v>
      </c>
      <c r="J19" s="389"/>
      <c r="K19" s="409">
        <f>ROUND(+'Ex. 3 Calcs-College'!J21,0)</f>
        <v>307514</v>
      </c>
      <c r="L19" s="393"/>
      <c r="M19" s="418" t="str">
        <f>+H18</f>
        <v>Amortization expense - academic programs</v>
      </c>
      <c r="N19" s="418"/>
      <c r="O19" s="492">
        <f>+J18</f>
        <v>351445</v>
      </c>
      <c r="P19" s="492"/>
      <c r="Q19" s="393"/>
    </row>
    <row r="20" spans="1:17" ht="14.65" customHeight="1" x14ac:dyDescent="0.25">
      <c r="A20" s="391"/>
      <c r="B20" s="391"/>
      <c r="C20" s="406" t="s">
        <v>236</v>
      </c>
      <c r="G20" s="393"/>
      <c r="I20" s="389" t="s">
        <v>641</v>
      </c>
      <c r="J20" s="389"/>
      <c r="K20" s="409">
        <f>ROUND(+'Ex. 3 Calcs-College'!K21,0)</f>
        <v>43931</v>
      </c>
      <c r="L20" s="393"/>
      <c r="N20" s="389" t="str">
        <f>+D19</f>
        <v>Prepaid services - academic programs</v>
      </c>
      <c r="P20" s="388">
        <f>+F19</f>
        <v>100000</v>
      </c>
      <c r="Q20" s="393"/>
    </row>
    <row r="21" spans="1:17" ht="14.65" customHeight="1" x14ac:dyDescent="0.25">
      <c r="A21" s="391"/>
      <c r="B21" s="391"/>
      <c r="C21" s="406" t="s">
        <v>237</v>
      </c>
      <c r="G21" s="393"/>
      <c r="H21" s="405" t="s">
        <v>652</v>
      </c>
      <c r="I21" s="404"/>
      <c r="J21" s="409"/>
      <c r="K21" s="409"/>
      <c r="L21" s="393"/>
      <c r="M21" s="397"/>
      <c r="N21" s="404" t="str">
        <f>+I19</f>
        <v>Accumulated amortization lease asset - building</v>
      </c>
      <c r="P21" s="409">
        <f>+K19</f>
        <v>307514</v>
      </c>
      <c r="Q21" s="393"/>
    </row>
    <row r="22" spans="1:17" ht="14.65" customHeight="1" x14ac:dyDescent="0.25">
      <c r="A22" s="391"/>
      <c r="B22" s="391"/>
      <c r="C22" s="405"/>
      <c r="D22" s="405"/>
      <c r="E22" s="500"/>
      <c r="F22" s="409"/>
      <c r="G22" s="393"/>
      <c r="H22" s="405"/>
      <c r="I22" s="404"/>
      <c r="J22" s="404"/>
      <c r="K22" s="409"/>
      <c r="L22" s="393"/>
      <c r="N22" s="404" t="str">
        <f>+I20</f>
        <v>Accumulated amortization lease asset - furniture &amp; fixtures</v>
      </c>
      <c r="O22" s="409"/>
      <c r="P22" s="409">
        <f>+K20</f>
        <v>43931</v>
      </c>
      <c r="Q22" s="393"/>
    </row>
    <row r="23" spans="1:17" ht="14.65" customHeight="1" x14ac:dyDescent="0.25">
      <c r="A23" s="391"/>
      <c r="B23" s="391"/>
      <c r="C23" s="405"/>
      <c r="D23" s="405"/>
      <c r="E23" s="500"/>
      <c r="F23" s="409"/>
      <c r="G23" s="393"/>
      <c r="H23" s="404"/>
      <c r="I23" s="404"/>
      <c r="J23" s="404"/>
      <c r="K23" s="409"/>
      <c r="L23" s="393"/>
      <c r="M23" s="405" t="s">
        <v>746</v>
      </c>
      <c r="N23" s="404"/>
      <c r="O23" s="409"/>
      <c r="P23" s="409"/>
      <c r="Q23" s="393"/>
    </row>
    <row r="24" spans="1:17" ht="14.65" customHeight="1" x14ac:dyDescent="0.25">
      <c r="A24" s="391"/>
      <c r="B24" s="391"/>
      <c r="C24" s="405"/>
      <c r="D24" s="405"/>
      <c r="E24" s="500"/>
      <c r="F24" s="409"/>
      <c r="G24" s="393"/>
      <c r="H24" s="404"/>
      <c r="I24" s="404"/>
      <c r="J24" s="404"/>
      <c r="K24" s="409"/>
      <c r="L24" s="393"/>
      <c r="M24" s="405" t="s">
        <v>747</v>
      </c>
      <c r="N24" s="404"/>
      <c r="O24" s="409"/>
      <c r="P24" s="409"/>
      <c r="Q24" s="393"/>
    </row>
    <row r="25" spans="1:17" ht="14.65" customHeight="1" x14ac:dyDescent="0.25">
      <c r="A25" s="391"/>
      <c r="B25" s="391"/>
      <c r="C25" s="405"/>
      <c r="D25" s="405"/>
      <c r="E25" s="500"/>
      <c r="F25" s="409"/>
      <c r="G25" s="393"/>
      <c r="H25" s="404"/>
      <c r="I25" s="404"/>
      <c r="J25" s="404"/>
      <c r="K25" s="409"/>
      <c r="L25" s="393"/>
      <c r="M25" s="405"/>
      <c r="N25" s="404"/>
      <c r="O25" s="409"/>
      <c r="P25" s="409"/>
      <c r="Q25" s="393"/>
    </row>
    <row r="26" spans="1:17" ht="14.65" customHeight="1" x14ac:dyDescent="0.25">
      <c r="A26" s="391"/>
      <c r="B26" s="391"/>
      <c r="C26" s="405"/>
      <c r="D26" s="405"/>
      <c r="E26" s="409"/>
      <c r="F26" s="409"/>
      <c r="G26" s="393"/>
      <c r="H26" s="501"/>
      <c r="I26" s="501"/>
      <c r="J26" s="409"/>
      <c r="K26" s="409"/>
      <c r="L26" s="393"/>
      <c r="M26" s="397"/>
      <c r="N26" s="404"/>
      <c r="O26" s="409"/>
      <c r="P26" s="409"/>
      <c r="Q26" s="393"/>
    </row>
    <row r="27" spans="1:17" x14ac:dyDescent="0.25">
      <c r="A27" s="400" t="str">
        <f>+'Ex. 3 Entries - District'!A23</f>
        <v>6/30/20X2 b</v>
      </c>
      <c r="B27" s="400"/>
      <c r="C27" s="397"/>
      <c r="D27" s="404" t="s">
        <v>36</v>
      </c>
      <c r="E27" s="409"/>
      <c r="F27" s="409"/>
      <c r="G27" s="393"/>
      <c r="H27" s="404" t="s">
        <v>3</v>
      </c>
      <c r="I27" s="404"/>
      <c r="J27" s="409">
        <f>+K28</f>
        <v>93433</v>
      </c>
      <c r="K27" s="409"/>
      <c r="L27" s="393"/>
      <c r="M27" s="404" t="str">
        <f t="shared" ref="M27" si="2">H27</f>
        <v>Interest expense</v>
      </c>
      <c r="N27" s="404"/>
      <c r="O27" s="388">
        <f t="shared" ref="O27" si="3">J27</f>
        <v>93433</v>
      </c>
      <c r="Q27" s="393"/>
    </row>
    <row r="28" spans="1:17" x14ac:dyDescent="0.25">
      <c r="A28" s="391"/>
      <c r="B28" s="391"/>
      <c r="C28" s="404"/>
      <c r="D28" s="404"/>
      <c r="E28" s="409"/>
      <c r="F28" s="409"/>
      <c r="G28" s="393"/>
      <c r="H28" s="405"/>
      <c r="I28" s="404" t="s">
        <v>28</v>
      </c>
      <c r="J28" s="409"/>
      <c r="K28" s="409">
        <f>ROUND(+'Ex. 3 Calcs-College'!D22,0)</f>
        <v>93433</v>
      </c>
      <c r="L28" s="393"/>
      <c r="M28" s="405"/>
      <c r="N28" s="404" t="str">
        <f t="shared" ref="N28" si="4">I28</f>
        <v>Interest payable</v>
      </c>
      <c r="P28" s="388">
        <f t="shared" ref="P28" si="5">K28</f>
        <v>93433</v>
      </c>
      <c r="Q28" s="393"/>
    </row>
    <row r="29" spans="1:17" x14ac:dyDescent="0.25">
      <c r="A29" s="391"/>
      <c r="B29" s="391"/>
      <c r="C29" s="404"/>
      <c r="D29" s="404"/>
      <c r="E29" s="409"/>
      <c r="F29" s="409"/>
      <c r="G29" s="393"/>
      <c r="H29" s="405" t="s">
        <v>77</v>
      </c>
      <c r="I29" s="404"/>
      <c r="J29" s="409"/>
      <c r="K29" s="409"/>
      <c r="L29" s="393"/>
      <c r="M29" s="405" t="str">
        <f t="shared" ref="M29" si="6">H29</f>
        <v>[To accrue interest payable on lease]</v>
      </c>
      <c r="N29" s="404"/>
      <c r="Q29" s="393"/>
    </row>
    <row r="30" spans="1:17" x14ac:dyDescent="0.25">
      <c r="A30" s="391"/>
      <c r="B30" s="391"/>
      <c r="D30" s="404"/>
      <c r="E30" s="409"/>
      <c r="F30" s="409"/>
      <c r="G30" s="393"/>
      <c r="H30" s="404"/>
      <c r="I30" s="404"/>
      <c r="J30" s="409"/>
      <c r="K30" s="409"/>
      <c r="L30" s="393"/>
      <c r="M30" s="404"/>
      <c r="N30" s="404"/>
      <c r="O30" s="409"/>
      <c r="P30" s="409"/>
      <c r="Q30" s="393"/>
    </row>
    <row r="31" spans="1:17" x14ac:dyDescent="0.25">
      <c r="A31" s="391"/>
      <c r="B31" s="391"/>
      <c r="D31" s="404"/>
      <c r="E31" s="389"/>
      <c r="F31" s="409"/>
      <c r="G31" s="393"/>
      <c r="H31" s="404"/>
      <c r="I31" s="404"/>
      <c r="J31" s="409"/>
      <c r="K31" s="409"/>
      <c r="L31" s="393"/>
      <c r="M31" s="404"/>
      <c r="N31" s="404"/>
      <c r="O31" s="409"/>
      <c r="P31" s="409"/>
      <c r="Q31" s="393"/>
    </row>
    <row r="32" spans="1:17" x14ac:dyDescent="0.25">
      <c r="A32" s="398" t="s">
        <v>146</v>
      </c>
      <c r="B32" s="422"/>
      <c r="D32" s="404"/>
      <c r="E32" s="409"/>
      <c r="F32" s="409"/>
      <c r="G32" s="393"/>
      <c r="H32" s="404"/>
      <c r="I32" s="404"/>
      <c r="J32" s="409"/>
      <c r="K32" s="409"/>
      <c r="L32" s="393"/>
      <c r="M32" s="404"/>
      <c r="N32" s="404"/>
      <c r="O32" s="409"/>
      <c r="P32" s="409"/>
      <c r="Q32" s="393"/>
    </row>
    <row r="33" spans="1:85" ht="14.65" customHeight="1" x14ac:dyDescent="0.25">
      <c r="A33" s="400" t="str">
        <f>+'Ex. 3 Entries - District'!A35</f>
        <v>7/1/20X2</v>
      </c>
      <c r="B33" s="400"/>
      <c r="C33" s="404" t="s">
        <v>80</v>
      </c>
      <c r="D33" s="405"/>
      <c r="E33" s="409">
        <f>ROUND(+'Ex. 3 Calcs-College'!E22,0)</f>
        <v>306567</v>
      </c>
      <c r="F33" s="409"/>
      <c r="G33" s="393"/>
      <c r="H33" s="389" t="str">
        <f>+I11</f>
        <v>Lease liability</v>
      </c>
      <c r="J33" s="402">
        <f>+K36</f>
        <v>306567</v>
      </c>
      <c r="K33" s="389"/>
      <c r="L33" s="393"/>
      <c r="M33" s="404" t="str">
        <f>+H33</f>
        <v>Lease liability</v>
      </c>
      <c r="N33" s="404"/>
      <c r="O33" s="409">
        <f>+J33</f>
        <v>306567</v>
      </c>
      <c r="P33" s="409"/>
      <c r="Q33" s="393"/>
    </row>
    <row r="34" spans="1:85" ht="14.65" customHeight="1" x14ac:dyDescent="0.25">
      <c r="A34" s="391"/>
      <c r="B34" s="391"/>
      <c r="C34" s="404" t="s">
        <v>81</v>
      </c>
      <c r="D34" s="404"/>
      <c r="E34" s="409">
        <f>ROUND(+'Ex. 3 Calcs-College'!D22,0)</f>
        <v>93433</v>
      </c>
      <c r="F34" s="389"/>
      <c r="G34" s="393"/>
      <c r="H34" s="493" t="str">
        <f>+I28</f>
        <v>Interest payable</v>
      </c>
      <c r="I34" s="404"/>
      <c r="J34" s="409">
        <f>+K28</f>
        <v>93433</v>
      </c>
      <c r="K34" s="409"/>
      <c r="L34" s="393"/>
      <c r="M34" s="404" t="str">
        <f>+H34</f>
        <v>Interest payable</v>
      </c>
      <c r="N34" s="404"/>
      <c r="O34" s="409">
        <f>+J34</f>
        <v>93433</v>
      </c>
      <c r="P34" s="409"/>
      <c r="Q34" s="393"/>
    </row>
    <row r="35" spans="1:85" ht="14.65" customHeight="1" x14ac:dyDescent="0.25">
      <c r="A35" s="391"/>
      <c r="B35" s="391"/>
      <c r="C35" s="493" t="str">
        <f>+C9</f>
        <v>Prepaid services - academic programs</v>
      </c>
      <c r="D35" s="493"/>
      <c r="E35" s="409">
        <f>+'Ex. 3 Calcs-College'!B6</f>
        <v>100000</v>
      </c>
      <c r="F35" s="409"/>
      <c r="G35" s="393"/>
      <c r="H35" s="493"/>
      <c r="I35" s="493" t="str">
        <f>+C34</f>
        <v>Debt service expenditure - interest</v>
      </c>
      <c r="J35" s="409"/>
      <c r="K35" s="409">
        <f>+J27</f>
        <v>93433</v>
      </c>
      <c r="L35" s="393"/>
      <c r="M35" s="404" t="str">
        <f>+C35</f>
        <v>Prepaid services - academic programs</v>
      </c>
      <c r="O35" s="409">
        <f>+E35</f>
        <v>100000</v>
      </c>
      <c r="P35" s="389"/>
      <c r="Q35" s="393"/>
    </row>
    <row r="36" spans="1:85" ht="14.65" customHeight="1" x14ac:dyDescent="0.25">
      <c r="A36" s="391"/>
      <c r="B36" s="391"/>
      <c r="C36" s="484"/>
      <c r="D36" s="493" t="s">
        <v>2</v>
      </c>
      <c r="E36" s="409"/>
      <c r="F36" s="409">
        <f>+'Ex. 3 Calcs-College'!B5</f>
        <v>500000</v>
      </c>
      <c r="G36" s="393"/>
      <c r="I36" s="493" t="str">
        <f>+C33</f>
        <v>Debt service expenditure - principal</v>
      </c>
      <c r="J36" s="409"/>
      <c r="K36" s="409">
        <f>+E33</f>
        <v>306567</v>
      </c>
      <c r="L36" s="393"/>
      <c r="M36" s="397"/>
      <c r="N36" s="389" t="str">
        <f>+D36</f>
        <v>Cash</v>
      </c>
      <c r="O36" s="389"/>
      <c r="P36" s="402">
        <f>+F36</f>
        <v>500000</v>
      </c>
      <c r="Q36" s="393"/>
    </row>
    <row r="37" spans="1:85" ht="14.65" customHeight="1" x14ac:dyDescent="0.25">
      <c r="A37" s="391"/>
      <c r="B37" s="391"/>
      <c r="C37" s="405" t="s">
        <v>776</v>
      </c>
      <c r="D37" s="405"/>
      <c r="E37" s="409"/>
      <c r="F37" s="409"/>
      <c r="G37" s="393"/>
      <c r="H37" s="484"/>
      <c r="I37" s="493"/>
      <c r="J37" s="409"/>
      <c r="K37" s="409"/>
      <c r="L37" s="393"/>
      <c r="M37" s="405" t="str">
        <f>C37</f>
        <v>[To record annual contractual payment to Example ISD]</v>
      </c>
      <c r="N37" s="404"/>
      <c r="O37" s="409"/>
      <c r="P37" s="409"/>
      <c r="Q37" s="393"/>
    </row>
    <row r="38" spans="1:85" ht="14.25" customHeight="1" x14ac:dyDescent="0.25">
      <c r="A38" s="391"/>
      <c r="B38" s="391"/>
      <c r="C38" s="404"/>
      <c r="D38" s="404"/>
      <c r="E38" s="409"/>
      <c r="F38" s="409"/>
      <c r="G38" s="393"/>
      <c r="H38" s="404"/>
      <c r="I38" s="404"/>
      <c r="J38" s="409"/>
      <c r="K38" s="409"/>
      <c r="L38" s="393"/>
      <c r="N38" s="404"/>
      <c r="O38" s="409"/>
      <c r="P38" s="409"/>
      <c r="Q38" s="393"/>
    </row>
    <row r="39" spans="1:85" ht="14.65" customHeight="1" x14ac:dyDescent="0.25">
      <c r="A39" s="391"/>
      <c r="B39" s="391"/>
      <c r="C39" s="397"/>
      <c r="D39" s="404"/>
      <c r="E39" s="409"/>
      <c r="F39" s="409"/>
      <c r="G39" s="393"/>
      <c r="H39" s="404"/>
      <c r="I39" s="404"/>
      <c r="J39" s="409"/>
      <c r="K39" s="409"/>
      <c r="L39" s="393"/>
      <c r="M39" s="397"/>
      <c r="N39" s="404"/>
      <c r="O39" s="409"/>
      <c r="P39" s="409"/>
      <c r="Q39" s="393"/>
    </row>
    <row r="40" spans="1:85" ht="14.65" customHeight="1" x14ac:dyDescent="0.25">
      <c r="A40" s="400" t="str">
        <f>+'Ex. 3 Entries - District'!A43</f>
        <v>6/30/20X3 a</v>
      </c>
      <c r="B40" s="400"/>
      <c r="C40" s="389" t="str">
        <f>+C18</f>
        <v>Expenditure/expense - academic programs</v>
      </c>
      <c r="D40" s="404"/>
      <c r="E40" s="388">
        <f>+F41</f>
        <v>100000</v>
      </c>
      <c r="G40" s="393"/>
      <c r="H40" s="493" t="str">
        <f>+H18</f>
        <v>Amortization expense - academic programs</v>
      </c>
      <c r="I40" s="484"/>
      <c r="J40" s="409">
        <f>ROUND(+'Ex. 3 Calcs-College'!L22,0)</f>
        <v>351445</v>
      </c>
      <c r="K40" s="409"/>
      <c r="L40" s="393"/>
      <c r="M40" s="389" t="str">
        <f>+C40</f>
        <v>Expenditure/expense - academic programs</v>
      </c>
      <c r="N40" s="404"/>
      <c r="O40" s="409">
        <f>+E40</f>
        <v>100000</v>
      </c>
      <c r="P40" s="409"/>
      <c r="Q40" s="393"/>
    </row>
    <row r="41" spans="1:85" ht="14.65" customHeight="1" x14ac:dyDescent="0.25">
      <c r="A41" s="391"/>
      <c r="B41" s="391"/>
      <c r="D41" s="389" t="str">
        <f>+D19</f>
        <v>Prepaid services - academic programs</v>
      </c>
      <c r="F41" s="388">
        <f>+E35</f>
        <v>100000</v>
      </c>
      <c r="G41" s="393"/>
      <c r="H41" s="397"/>
      <c r="I41" s="404" t="str">
        <f>+I19</f>
        <v>Accumulated amortization lease asset - building</v>
      </c>
      <c r="J41" s="409"/>
      <c r="K41" s="409">
        <f>ROUND(+'Ex. 3 Calcs-College'!J22,0)</f>
        <v>307514</v>
      </c>
      <c r="L41" s="393"/>
      <c r="M41" s="418" t="str">
        <f>+H40</f>
        <v>Amortization expense - academic programs</v>
      </c>
      <c r="N41" s="418"/>
      <c r="O41" s="492">
        <f>+J40</f>
        <v>351445</v>
      </c>
      <c r="P41" s="492"/>
      <c r="Q41" s="393"/>
    </row>
    <row r="42" spans="1:85" ht="14.65" customHeight="1" x14ac:dyDescent="0.25">
      <c r="A42" s="391"/>
      <c r="B42" s="391"/>
      <c r="C42" s="406" t="s">
        <v>236</v>
      </c>
      <c r="G42" s="393"/>
      <c r="I42" s="404" t="str">
        <f>+I20</f>
        <v>Accumulated amortization lease asset - furniture &amp; fixtures</v>
      </c>
      <c r="J42" s="409"/>
      <c r="K42" s="409">
        <f>ROUND(+'Ex. 3 Calcs-College'!K22,0)</f>
        <v>43931</v>
      </c>
      <c r="L42" s="393"/>
      <c r="N42" s="389" t="str">
        <f>+D41</f>
        <v>Prepaid services - academic programs</v>
      </c>
      <c r="P42" s="388">
        <f>+F41</f>
        <v>100000</v>
      </c>
      <c r="Q42" s="393"/>
    </row>
    <row r="43" spans="1:85" ht="14.65" customHeight="1" x14ac:dyDescent="0.25">
      <c r="A43" s="391"/>
      <c r="B43" s="391"/>
      <c r="C43" s="406" t="s">
        <v>237</v>
      </c>
      <c r="G43" s="393"/>
      <c r="H43" s="405" t="s">
        <v>72</v>
      </c>
      <c r="I43" s="404"/>
      <c r="J43" s="409"/>
      <c r="K43" s="409"/>
      <c r="L43" s="393"/>
      <c r="M43" s="397"/>
      <c r="N43" s="404" t="str">
        <f>+I41</f>
        <v>Accumulated amortization lease asset - building</v>
      </c>
      <c r="P43" s="409">
        <f>+K41</f>
        <v>307514</v>
      </c>
      <c r="Q43" s="393"/>
    </row>
    <row r="44" spans="1:85" ht="14.65" customHeight="1" x14ac:dyDescent="0.25">
      <c r="A44" s="502"/>
      <c r="B44" s="502"/>
      <c r="C44" s="405"/>
      <c r="D44" s="405"/>
      <c r="E44" s="500"/>
      <c r="F44" s="409"/>
      <c r="G44" s="393"/>
      <c r="H44" s="405" t="s">
        <v>74</v>
      </c>
      <c r="I44" s="404"/>
      <c r="J44" s="404"/>
      <c r="K44" s="409"/>
      <c r="L44" s="393"/>
      <c r="N44" s="404" t="str">
        <f>+I42</f>
        <v>Accumulated amortization lease asset - furniture &amp; fixtures</v>
      </c>
      <c r="O44" s="409"/>
      <c r="P44" s="409">
        <f>+K42</f>
        <v>43931</v>
      </c>
      <c r="Q44" s="393"/>
    </row>
    <row r="45" spans="1:85" ht="14.65" customHeight="1" x14ac:dyDescent="0.25">
      <c r="A45" s="391"/>
      <c r="B45" s="391"/>
      <c r="C45" s="405"/>
      <c r="D45" s="405"/>
      <c r="E45" s="500"/>
      <c r="F45" s="409"/>
      <c r="G45" s="393"/>
      <c r="H45" s="404"/>
      <c r="I45" s="404"/>
      <c r="J45" s="404"/>
      <c r="K45" s="409"/>
      <c r="L45" s="393"/>
      <c r="M45" s="405" t="s">
        <v>746</v>
      </c>
      <c r="N45" s="404"/>
      <c r="O45" s="409"/>
      <c r="P45" s="409"/>
      <c r="Q45" s="393"/>
      <c r="R45" s="415"/>
      <c r="S45" s="415"/>
      <c r="T45" s="415"/>
      <c r="U45" s="415"/>
      <c r="V45" s="415"/>
      <c r="W45" s="415"/>
      <c r="X45" s="415"/>
      <c r="Y45" s="415"/>
      <c r="Z45" s="415"/>
      <c r="AA45" s="415"/>
      <c r="AB45" s="415"/>
      <c r="AC45" s="415"/>
      <c r="AD45" s="415"/>
      <c r="AE45" s="415"/>
      <c r="AF45" s="415"/>
      <c r="AG45" s="415"/>
      <c r="AH45" s="415"/>
      <c r="AI45" s="415"/>
      <c r="AJ45" s="415"/>
      <c r="AK45" s="415"/>
      <c r="AL45" s="415"/>
      <c r="AM45" s="415"/>
      <c r="AN45" s="415"/>
      <c r="AO45" s="415"/>
      <c r="AP45" s="415"/>
      <c r="AQ45" s="415"/>
      <c r="AR45" s="415"/>
      <c r="AS45" s="415"/>
      <c r="AT45" s="415"/>
      <c r="AU45" s="415"/>
      <c r="AV45" s="415"/>
      <c r="AW45" s="415"/>
      <c r="AX45" s="415"/>
      <c r="AY45" s="415"/>
      <c r="AZ45" s="415"/>
      <c r="BA45" s="415"/>
      <c r="BB45" s="415"/>
      <c r="BC45" s="415"/>
      <c r="BD45" s="415"/>
      <c r="BE45" s="415"/>
      <c r="BF45" s="415"/>
      <c r="BG45" s="415"/>
      <c r="BH45" s="415"/>
      <c r="BI45" s="415"/>
      <c r="BJ45" s="415"/>
      <c r="BK45" s="415"/>
      <c r="BL45" s="415"/>
      <c r="BM45" s="415"/>
      <c r="BN45" s="415"/>
      <c r="BO45" s="415"/>
      <c r="BP45" s="415"/>
      <c r="BQ45" s="415"/>
      <c r="BR45" s="415"/>
      <c r="BS45" s="415"/>
      <c r="BT45" s="415"/>
      <c r="BU45" s="415"/>
      <c r="BV45" s="415"/>
      <c r="BW45" s="415"/>
      <c r="BX45" s="415"/>
      <c r="BY45" s="415"/>
      <c r="BZ45" s="415"/>
      <c r="CA45" s="415"/>
      <c r="CB45" s="415"/>
      <c r="CC45" s="415"/>
      <c r="CD45" s="415"/>
      <c r="CE45" s="415"/>
      <c r="CF45" s="415"/>
      <c r="CG45" s="503"/>
    </row>
    <row r="46" spans="1:85" ht="14.65" customHeight="1" x14ac:dyDescent="0.25">
      <c r="A46" s="391"/>
      <c r="B46" s="391"/>
      <c r="C46" s="405"/>
      <c r="D46" s="405"/>
      <c r="E46" s="500"/>
      <c r="F46" s="409"/>
      <c r="G46" s="393"/>
      <c r="H46" s="404"/>
      <c r="I46" s="404"/>
      <c r="J46" s="404"/>
      <c r="K46" s="409"/>
      <c r="L46" s="393"/>
      <c r="M46" s="405" t="s">
        <v>747</v>
      </c>
      <c r="N46" s="404"/>
      <c r="O46" s="409"/>
      <c r="P46" s="409"/>
      <c r="Q46" s="393"/>
      <c r="R46" s="415"/>
      <c r="S46" s="415"/>
      <c r="T46" s="415"/>
      <c r="U46" s="415"/>
      <c r="V46" s="415"/>
      <c r="W46" s="415"/>
      <c r="X46" s="415"/>
      <c r="Y46" s="415"/>
      <c r="Z46" s="415"/>
      <c r="AA46" s="415"/>
      <c r="AB46" s="415"/>
      <c r="AC46" s="415"/>
      <c r="AD46" s="415"/>
      <c r="AE46" s="415"/>
      <c r="AF46" s="415"/>
      <c r="AG46" s="415"/>
      <c r="AH46" s="415"/>
      <c r="AI46" s="415"/>
      <c r="AJ46" s="415"/>
      <c r="AK46" s="415"/>
      <c r="AL46" s="415"/>
      <c r="AM46" s="415"/>
      <c r="AN46" s="415"/>
      <c r="AO46" s="415"/>
      <c r="AP46" s="415"/>
      <c r="AQ46" s="415"/>
      <c r="AR46" s="415"/>
      <c r="AS46" s="415"/>
      <c r="AT46" s="415"/>
      <c r="AU46" s="415"/>
      <c r="AV46" s="415"/>
      <c r="AW46" s="415"/>
      <c r="AX46" s="415"/>
      <c r="AY46" s="415"/>
      <c r="AZ46" s="415"/>
      <c r="BA46" s="415"/>
      <c r="BB46" s="415"/>
      <c r="BC46" s="415"/>
      <c r="BD46" s="415"/>
      <c r="BE46" s="415"/>
      <c r="BF46" s="415"/>
      <c r="BG46" s="415"/>
      <c r="BH46" s="415"/>
      <c r="BI46" s="415"/>
      <c r="BJ46" s="415"/>
      <c r="BK46" s="415"/>
      <c r="BL46" s="415"/>
      <c r="BM46" s="415"/>
      <c r="BN46" s="415"/>
      <c r="BO46" s="415"/>
      <c r="BP46" s="415"/>
      <c r="BQ46" s="415"/>
      <c r="BR46" s="415"/>
      <c r="BS46" s="415"/>
      <c r="BT46" s="415"/>
      <c r="BU46" s="415"/>
      <c r="BV46" s="415"/>
      <c r="BW46" s="415"/>
      <c r="BX46" s="415"/>
      <c r="BY46" s="415"/>
      <c r="BZ46" s="415"/>
      <c r="CA46" s="415"/>
      <c r="CB46" s="415"/>
      <c r="CC46" s="415"/>
      <c r="CD46" s="415"/>
      <c r="CE46" s="415"/>
      <c r="CF46" s="415"/>
      <c r="CG46" s="415"/>
    </row>
    <row r="47" spans="1:85" ht="14.65" customHeight="1" x14ac:dyDescent="0.25">
      <c r="A47" s="391"/>
      <c r="B47" s="391"/>
      <c r="C47" s="405"/>
      <c r="D47" s="405"/>
      <c r="E47" s="500"/>
      <c r="F47" s="409"/>
      <c r="G47" s="393"/>
      <c r="H47" s="404"/>
      <c r="I47" s="404"/>
      <c r="J47" s="404"/>
      <c r="K47" s="409"/>
      <c r="L47" s="393"/>
      <c r="M47" s="405"/>
      <c r="N47" s="404"/>
      <c r="O47" s="409"/>
      <c r="P47" s="409"/>
      <c r="Q47" s="393"/>
      <c r="R47" s="415"/>
      <c r="S47" s="415"/>
      <c r="T47" s="415"/>
      <c r="U47" s="415"/>
      <c r="V47" s="415"/>
      <c r="W47" s="415"/>
      <c r="X47" s="415"/>
      <c r="Y47" s="415"/>
      <c r="Z47" s="415"/>
      <c r="AA47" s="415"/>
      <c r="AB47" s="415"/>
      <c r="AC47" s="415"/>
      <c r="AD47" s="415"/>
      <c r="AE47" s="415"/>
      <c r="AF47" s="415"/>
      <c r="AG47" s="415"/>
      <c r="AH47" s="415"/>
      <c r="AI47" s="415"/>
      <c r="AJ47" s="415"/>
      <c r="AK47" s="415"/>
      <c r="AL47" s="415"/>
      <c r="AM47" s="415"/>
      <c r="AN47" s="415"/>
      <c r="AO47" s="415"/>
      <c r="AP47" s="415"/>
      <c r="AQ47" s="415"/>
      <c r="AR47" s="415"/>
      <c r="AS47" s="415"/>
      <c r="AT47" s="415"/>
      <c r="AU47" s="415"/>
      <c r="AV47" s="415"/>
      <c r="AW47" s="415"/>
      <c r="AX47" s="415"/>
      <c r="AY47" s="415"/>
      <c r="AZ47" s="415"/>
      <c r="BA47" s="415"/>
      <c r="BB47" s="415"/>
      <c r="BC47" s="415"/>
      <c r="BD47" s="415"/>
      <c r="BE47" s="415"/>
      <c r="BF47" s="415"/>
      <c r="BG47" s="415"/>
      <c r="BH47" s="415"/>
      <c r="BI47" s="415"/>
      <c r="BJ47" s="415"/>
      <c r="BK47" s="415"/>
      <c r="BL47" s="415"/>
      <c r="BM47" s="415"/>
      <c r="BN47" s="415"/>
      <c r="BO47" s="415"/>
      <c r="BP47" s="415"/>
      <c r="BQ47" s="415"/>
      <c r="BR47" s="415"/>
      <c r="BS47" s="415"/>
      <c r="BT47" s="415"/>
      <c r="BU47" s="415"/>
      <c r="BV47" s="415"/>
      <c r="BW47" s="415"/>
      <c r="BX47" s="415"/>
      <c r="BY47" s="415"/>
      <c r="BZ47" s="415"/>
      <c r="CA47" s="415"/>
      <c r="CB47" s="415"/>
      <c r="CC47" s="415"/>
      <c r="CD47" s="415"/>
      <c r="CE47" s="415"/>
      <c r="CF47" s="415"/>
      <c r="CG47" s="415"/>
    </row>
    <row r="48" spans="1:85" ht="14.65" customHeight="1" x14ac:dyDescent="0.25">
      <c r="A48" s="391"/>
      <c r="B48" s="391"/>
      <c r="C48" s="405"/>
      <c r="D48" s="405"/>
      <c r="E48" s="500"/>
      <c r="F48" s="409"/>
      <c r="G48" s="393"/>
      <c r="H48" s="404"/>
      <c r="I48" s="404"/>
      <c r="J48" s="404"/>
      <c r="K48" s="409"/>
      <c r="L48" s="393"/>
      <c r="M48" s="405"/>
      <c r="N48" s="404"/>
      <c r="O48" s="409"/>
      <c r="P48" s="409"/>
      <c r="Q48" s="393"/>
      <c r="R48" s="415"/>
      <c r="S48" s="415"/>
      <c r="T48" s="415"/>
      <c r="U48" s="415"/>
      <c r="V48" s="415"/>
      <c r="W48" s="415"/>
      <c r="X48" s="415"/>
      <c r="Y48" s="415"/>
      <c r="Z48" s="415"/>
      <c r="AA48" s="415"/>
      <c r="AB48" s="415"/>
      <c r="AC48" s="415"/>
      <c r="AD48" s="415"/>
      <c r="AE48" s="415"/>
      <c r="AF48" s="415"/>
      <c r="AG48" s="415"/>
      <c r="AH48" s="415"/>
      <c r="AI48" s="415"/>
      <c r="AJ48" s="415"/>
      <c r="AK48" s="415"/>
      <c r="AL48" s="415"/>
      <c r="AM48" s="415"/>
      <c r="AN48" s="415"/>
      <c r="AO48" s="415"/>
      <c r="AP48" s="415"/>
      <c r="AQ48" s="415"/>
      <c r="AR48" s="415"/>
      <c r="AS48" s="415"/>
      <c r="AT48" s="415"/>
      <c r="AU48" s="415"/>
      <c r="AV48" s="415"/>
      <c r="AW48" s="415"/>
      <c r="AX48" s="415"/>
      <c r="AY48" s="415"/>
      <c r="AZ48" s="415"/>
      <c r="BA48" s="415"/>
      <c r="BB48" s="415"/>
      <c r="BC48" s="415"/>
      <c r="BD48" s="415"/>
      <c r="BE48" s="415"/>
      <c r="BF48" s="415"/>
      <c r="BG48" s="415"/>
      <c r="BH48" s="415"/>
      <c r="BI48" s="415"/>
      <c r="BJ48" s="415"/>
      <c r="BK48" s="415"/>
      <c r="BL48" s="415"/>
      <c r="BM48" s="415"/>
      <c r="BN48" s="415"/>
      <c r="BO48" s="415"/>
      <c r="BP48" s="415"/>
      <c r="BQ48" s="415"/>
      <c r="BR48" s="415"/>
      <c r="BS48" s="415"/>
      <c r="BT48" s="415"/>
      <c r="BU48" s="415"/>
      <c r="BV48" s="415"/>
      <c r="BW48" s="415"/>
      <c r="BX48" s="415"/>
      <c r="BY48" s="415"/>
      <c r="BZ48" s="415"/>
      <c r="CA48" s="415"/>
      <c r="CB48" s="415"/>
      <c r="CC48" s="415"/>
      <c r="CD48" s="415"/>
      <c r="CE48" s="415"/>
      <c r="CF48" s="415"/>
      <c r="CG48" s="415"/>
    </row>
    <row r="49" spans="1:17" ht="14.65" customHeight="1" x14ac:dyDescent="0.25">
      <c r="A49" s="400" t="s">
        <v>149</v>
      </c>
      <c r="B49" s="400"/>
      <c r="C49" s="397"/>
      <c r="D49" s="404" t="s">
        <v>36</v>
      </c>
      <c r="E49" s="409"/>
      <c r="F49" s="409"/>
      <c r="G49" s="393"/>
      <c r="H49" s="404" t="s">
        <v>3</v>
      </c>
      <c r="I49" s="404"/>
      <c r="J49" s="409">
        <f>ROUND(+'Ex. 3 Calcs-College'!D23,0)</f>
        <v>84236</v>
      </c>
      <c r="K49" s="409"/>
      <c r="L49" s="393"/>
      <c r="M49" s="404" t="str">
        <f t="shared" ref="M49" si="7">H49</f>
        <v>Interest expense</v>
      </c>
      <c r="N49" s="404"/>
      <c r="O49" s="409">
        <f>+J49</f>
        <v>84236</v>
      </c>
      <c r="P49" s="409"/>
      <c r="Q49" s="393"/>
    </row>
    <row r="50" spans="1:17" ht="14.65" customHeight="1" x14ac:dyDescent="0.25">
      <c r="A50" s="485"/>
      <c r="B50" s="485"/>
      <c r="C50" s="404"/>
      <c r="D50" s="404"/>
      <c r="E50" s="409"/>
      <c r="F50" s="409"/>
      <c r="G50" s="393"/>
      <c r="H50" s="405"/>
      <c r="I50" s="404" t="s">
        <v>28</v>
      </c>
      <c r="J50" s="409"/>
      <c r="K50" s="409">
        <f>+J49</f>
        <v>84236</v>
      </c>
      <c r="L50" s="393"/>
      <c r="M50" s="405"/>
      <c r="N50" s="404" t="str">
        <f t="shared" ref="N50" si="8">I50</f>
        <v>Interest payable</v>
      </c>
      <c r="O50" s="409"/>
      <c r="P50" s="409">
        <f>+K50</f>
        <v>84236</v>
      </c>
      <c r="Q50" s="393"/>
    </row>
    <row r="51" spans="1:17" ht="14.65" customHeight="1" x14ac:dyDescent="0.25">
      <c r="A51" s="391"/>
      <c r="B51" s="391"/>
      <c r="C51" s="404"/>
      <c r="D51" s="404"/>
      <c r="E51" s="409"/>
      <c r="F51" s="409"/>
      <c r="G51" s="393"/>
      <c r="H51" s="405" t="s">
        <v>77</v>
      </c>
      <c r="I51" s="404"/>
      <c r="J51" s="409"/>
      <c r="K51" s="409"/>
      <c r="L51" s="393"/>
      <c r="M51" s="405" t="str">
        <f t="shared" ref="M51" si="9">H51</f>
        <v>[To accrue interest payable on lease]</v>
      </c>
      <c r="N51" s="404"/>
      <c r="O51" s="409"/>
      <c r="P51" s="409"/>
      <c r="Q51" s="393"/>
    </row>
    <row r="52" spans="1:17" x14ac:dyDescent="0.25">
      <c r="A52" s="391"/>
      <c r="B52" s="391"/>
      <c r="C52" s="404"/>
      <c r="D52" s="404"/>
      <c r="E52" s="409"/>
      <c r="F52" s="409"/>
      <c r="G52" s="393"/>
      <c r="H52" s="405"/>
      <c r="I52" s="404"/>
      <c r="J52" s="409"/>
      <c r="K52" s="409"/>
      <c r="L52" s="393"/>
      <c r="M52" s="405"/>
      <c r="N52" s="404"/>
      <c r="Q52" s="393"/>
    </row>
    <row r="53" spans="1:17" x14ac:dyDescent="0.25">
      <c r="A53" s="391"/>
      <c r="B53" s="391"/>
      <c r="C53" s="404"/>
      <c r="D53" s="404"/>
      <c r="E53" s="409"/>
      <c r="F53" s="409"/>
      <c r="G53" s="393"/>
      <c r="H53" s="405"/>
      <c r="I53" s="404"/>
      <c r="J53" s="409"/>
      <c r="K53" s="409"/>
      <c r="L53" s="393"/>
      <c r="M53" s="405"/>
      <c r="N53" s="404"/>
      <c r="Q53" s="393"/>
    </row>
    <row r="54" spans="1:17" x14ac:dyDescent="0.25">
      <c r="A54" s="398" t="s">
        <v>215</v>
      </c>
      <c r="B54" s="422"/>
      <c r="D54" s="404"/>
      <c r="E54" s="409"/>
      <c r="F54" s="409"/>
      <c r="G54" s="393"/>
      <c r="H54" s="404"/>
      <c r="I54" s="404"/>
      <c r="J54" s="409"/>
      <c r="K54" s="409"/>
      <c r="L54" s="393"/>
      <c r="M54" s="404"/>
      <c r="N54" s="404"/>
      <c r="O54" s="409"/>
      <c r="P54" s="409"/>
      <c r="Q54" s="393"/>
    </row>
    <row r="55" spans="1:17" ht="14.65" customHeight="1" x14ac:dyDescent="0.25">
      <c r="A55" s="400" t="s">
        <v>216</v>
      </c>
      <c r="B55" s="400"/>
      <c r="C55" s="404" t="s">
        <v>80</v>
      </c>
      <c r="D55" s="405"/>
      <c r="E55" s="409">
        <f>ROUND(+'Ex. 3 Calcs-College'!E23,0)</f>
        <v>315764</v>
      </c>
      <c r="F55" s="409"/>
      <c r="G55" s="393"/>
      <c r="H55" s="389" t="str">
        <f>+H33</f>
        <v>Lease liability</v>
      </c>
      <c r="J55" s="402">
        <f>+K58</f>
        <v>315764</v>
      </c>
      <c r="K55" s="389"/>
      <c r="L55" s="393"/>
      <c r="M55" s="404" t="str">
        <f>+H55</f>
        <v>Lease liability</v>
      </c>
      <c r="N55" s="404"/>
      <c r="O55" s="409">
        <f>+J55</f>
        <v>315764</v>
      </c>
      <c r="P55" s="409"/>
      <c r="Q55" s="393"/>
    </row>
    <row r="56" spans="1:17" ht="14.65" customHeight="1" x14ac:dyDescent="0.25">
      <c r="A56" s="391"/>
      <c r="B56" s="391"/>
      <c r="C56" s="404" t="s">
        <v>81</v>
      </c>
      <c r="D56" s="404"/>
      <c r="E56" s="409">
        <f>ROUND(+'Ex. 3 Calcs-College'!D23,0)</f>
        <v>84236</v>
      </c>
      <c r="F56" s="389"/>
      <c r="G56" s="393"/>
      <c r="H56" s="493" t="str">
        <f>+I50</f>
        <v>Interest payable</v>
      </c>
      <c r="I56" s="404"/>
      <c r="J56" s="409">
        <f>+K50</f>
        <v>84236</v>
      </c>
      <c r="K56" s="409"/>
      <c r="L56" s="393"/>
      <c r="M56" s="404" t="str">
        <f>+H56</f>
        <v>Interest payable</v>
      </c>
      <c r="N56" s="404"/>
      <c r="O56" s="409">
        <f>+J56</f>
        <v>84236</v>
      </c>
      <c r="P56" s="409"/>
      <c r="Q56" s="393"/>
    </row>
    <row r="57" spans="1:17" ht="14.65" customHeight="1" x14ac:dyDescent="0.25">
      <c r="A57" s="391"/>
      <c r="B57" s="391"/>
      <c r="C57" s="389" t="str">
        <f>+C35</f>
        <v>Prepaid services - academic programs</v>
      </c>
      <c r="D57" s="493"/>
      <c r="E57" s="409">
        <f>+'Ex. 3 Calcs-College'!B6</f>
        <v>100000</v>
      </c>
      <c r="F57" s="389"/>
      <c r="G57" s="393"/>
      <c r="H57" s="493"/>
      <c r="I57" s="493" t="str">
        <f>+C56</f>
        <v>Debt service expenditure - interest</v>
      </c>
      <c r="J57" s="409"/>
      <c r="K57" s="409">
        <f>+J49</f>
        <v>84236</v>
      </c>
      <c r="L57" s="393"/>
      <c r="M57" s="389" t="str">
        <f>+C57</f>
        <v>Prepaid services - academic programs</v>
      </c>
      <c r="N57" s="404"/>
      <c r="O57" s="409">
        <f>+E57</f>
        <v>100000</v>
      </c>
      <c r="P57" s="389"/>
      <c r="Q57" s="393"/>
    </row>
    <row r="58" spans="1:17" ht="14.65" customHeight="1" x14ac:dyDescent="0.25">
      <c r="A58" s="391"/>
      <c r="B58" s="391"/>
      <c r="C58" s="484"/>
      <c r="D58" s="493" t="s">
        <v>2</v>
      </c>
      <c r="E58" s="409"/>
      <c r="F58" s="409">
        <f>+'Ex. 3 Calcs-College'!B5</f>
        <v>500000</v>
      </c>
      <c r="G58" s="393"/>
      <c r="I58" s="493" t="str">
        <f>+C55</f>
        <v>Debt service expenditure - principal</v>
      </c>
      <c r="J58" s="409"/>
      <c r="K58" s="409">
        <f>+E55</f>
        <v>315764</v>
      </c>
      <c r="L58" s="393"/>
      <c r="M58" s="397"/>
      <c r="N58" s="389" t="str">
        <f>+D58</f>
        <v>Cash</v>
      </c>
      <c r="O58" s="389"/>
      <c r="P58" s="402">
        <f>+F58</f>
        <v>500000</v>
      </c>
      <c r="Q58" s="393"/>
    </row>
    <row r="59" spans="1:17" ht="14.65" customHeight="1" x14ac:dyDescent="0.25">
      <c r="A59" s="391"/>
      <c r="B59" s="391"/>
      <c r="C59" s="405" t="s">
        <v>238</v>
      </c>
      <c r="D59" s="405"/>
      <c r="E59" s="409"/>
      <c r="F59" s="409"/>
      <c r="G59" s="393"/>
      <c r="H59" s="484"/>
      <c r="I59" s="493"/>
      <c r="J59" s="409"/>
      <c r="K59" s="409"/>
      <c r="L59" s="393"/>
      <c r="M59" s="405" t="str">
        <f>C59</f>
        <v>[To record rent payment to lessor]</v>
      </c>
      <c r="N59" s="404"/>
      <c r="O59" s="409"/>
      <c r="P59" s="409"/>
      <c r="Q59" s="393"/>
    </row>
    <row r="60" spans="1:17" ht="14.25" customHeight="1" x14ac:dyDescent="0.25">
      <c r="A60" s="391"/>
      <c r="B60" s="391"/>
      <c r="C60" s="404"/>
      <c r="D60" s="404"/>
      <c r="E60" s="409"/>
      <c r="F60" s="409"/>
      <c r="G60" s="393"/>
      <c r="H60" s="404"/>
      <c r="I60" s="404"/>
      <c r="J60" s="409"/>
      <c r="K60" s="409"/>
      <c r="L60" s="393"/>
      <c r="N60" s="404"/>
      <c r="O60" s="409"/>
      <c r="P60" s="409"/>
      <c r="Q60" s="393"/>
    </row>
    <row r="61" spans="1:17" ht="14.65" customHeight="1" x14ac:dyDescent="0.25">
      <c r="A61" s="391"/>
      <c r="B61" s="391"/>
      <c r="C61" s="397"/>
      <c r="D61" s="404"/>
      <c r="E61" s="409"/>
      <c r="F61" s="409"/>
      <c r="G61" s="393"/>
      <c r="H61" s="404"/>
      <c r="I61" s="404"/>
      <c r="J61" s="409"/>
      <c r="K61" s="409"/>
      <c r="L61" s="393"/>
      <c r="M61" s="397"/>
      <c r="N61" s="404"/>
      <c r="O61" s="409"/>
      <c r="P61" s="409"/>
      <c r="Q61" s="393"/>
    </row>
    <row r="62" spans="1:17" ht="14.65" customHeight="1" x14ac:dyDescent="0.25">
      <c r="A62" s="400" t="s">
        <v>217</v>
      </c>
      <c r="B62" s="400"/>
      <c r="C62" s="389" t="str">
        <f>+C40</f>
        <v>Expenditure/expense - academic programs</v>
      </c>
      <c r="D62" s="404"/>
      <c r="E62" s="388">
        <f>+F63</f>
        <v>100000</v>
      </c>
      <c r="G62" s="393"/>
      <c r="H62" s="493" t="str">
        <f>+H40</f>
        <v>Amortization expense - academic programs</v>
      </c>
      <c r="I62" s="484"/>
      <c r="J62" s="409">
        <f>ROUND(+'Ex. 3 Calcs-College'!L23,0)</f>
        <v>351445</v>
      </c>
      <c r="K62" s="409"/>
      <c r="L62" s="393"/>
      <c r="M62" s="389" t="str">
        <f>+C62</f>
        <v>Expenditure/expense - academic programs</v>
      </c>
      <c r="N62" s="404"/>
      <c r="O62" s="409">
        <f>+E62</f>
        <v>100000</v>
      </c>
      <c r="P62" s="409"/>
      <c r="Q62" s="393"/>
    </row>
    <row r="63" spans="1:17" ht="14.65" customHeight="1" x14ac:dyDescent="0.25">
      <c r="A63" s="391"/>
      <c r="B63" s="391"/>
      <c r="D63" s="389" t="str">
        <f>+D41</f>
        <v>Prepaid services - academic programs</v>
      </c>
      <c r="F63" s="388">
        <f>+E57</f>
        <v>100000</v>
      </c>
      <c r="G63" s="393"/>
      <c r="H63" s="397"/>
      <c r="I63" s="404" t="str">
        <f>+I41</f>
        <v>Accumulated amortization lease asset - building</v>
      </c>
      <c r="J63" s="409"/>
      <c r="K63" s="409">
        <f>ROUND(+'Ex. 3 Calcs-College'!J23,0)</f>
        <v>307514</v>
      </c>
      <c r="L63" s="393"/>
      <c r="M63" s="418" t="str">
        <f>+H62</f>
        <v>Amortization expense - academic programs</v>
      </c>
      <c r="N63" s="418"/>
      <c r="O63" s="492">
        <f>+J62</f>
        <v>351445</v>
      </c>
      <c r="P63" s="492"/>
      <c r="Q63" s="393"/>
    </row>
    <row r="64" spans="1:17" ht="14.65" customHeight="1" x14ac:dyDescent="0.25">
      <c r="A64" s="391"/>
      <c r="B64" s="391"/>
      <c r="C64" s="406" t="s">
        <v>236</v>
      </c>
      <c r="G64" s="393"/>
      <c r="I64" s="404" t="str">
        <f>+I42</f>
        <v>Accumulated amortization lease asset - furniture &amp; fixtures</v>
      </c>
      <c r="J64" s="409"/>
      <c r="K64" s="409">
        <f>ROUND(+'Ex. 3 Calcs-College'!K23,0)</f>
        <v>43931</v>
      </c>
      <c r="L64" s="393"/>
      <c r="N64" s="389" t="str">
        <f>+D63</f>
        <v>Prepaid services - academic programs</v>
      </c>
      <c r="P64" s="388">
        <f>+F63</f>
        <v>100000</v>
      </c>
      <c r="Q64" s="393"/>
    </row>
    <row r="65" spans="1:85" ht="14.65" customHeight="1" x14ac:dyDescent="0.25">
      <c r="A65" s="391"/>
      <c r="B65" s="391"/>
      <c r="C65" s="406" t="s">
        <v>237</v>
      </c>
      <c r="G65" s="393"/>
      <c r="H65" s="405" t="s">
        <v>72</v>
      </c>
      <c r="I65" s="404"/>
      <c r="J65" s="409"/>
      <c r="K65" s="409"/>
      <c r="L65" s="393"/>
      <c r="M65" s="397"/>
      <c r="N65" s="404" t="str">
        <f>+I63</f>
        <v>Accumulated amortization lease asset - building</v>
      </c>
      <c r="P65" s="409">
        <f>+K63</f>
        <v>307514</v>
      </c>
      <c r="Q65" s="393"/>
    </row>
    <row r="66" spans="1:85" ht="14.65" customHeight="1" x14ac:dyDescent="0.25">
      <c r="A66" s="502"/>
      <c r="B66" s="502"/>
      <c r="C66" s="405"/>
      <c r="D66" s="405"/>
      <c r="E66" s="500"/>
      <c r="F66" s="409"/>
      <c r="G66" s="393"/>
      <c r="H66" s="405" t="s">
        <v>74</v>
      </c>
      <c r="I66" s="404"/>
      <c r="J66" s="404"/>
      <c r="K66" s="409"/>
      <c r="L66" s="393"/>
      <c r="N66" s="404" t="str">
        <f>+I64</f>
        <v>Accumulated amortization lease asset - furniture &amp; fixtures</v>
      </c>
      <c r="O66" s="409"/>
      <c r="P66" s="409">
        <f>+K64</f>
        <v>43931</v>
      </c>
      <c r="Q66" s="393"/>
    </row>
    <row r="67" spans="1:85" ht="14.65" customHeight="1" x14ac:dyDescent="0.25">
      <c r="A67" s="391"/>
      <c r="B67" s="391"/>
      <c r="C67" s="405"/>
      <c r="D67" s="405"/>
      <c r="E67" s="500"/>
      <c r="F67" s="409"/>
      <c r="G67" s="393"/>
      <c r="H67" s="404"/>
      <c r="I67" s="404"/>
      <c r="J67" s="404"/>
      <c r="K67" s="409"/>
      <c r="L67" s="393"/>
      <c r="M67" s="405" t="s">
        <v>746</v>
      </c>
      <c r="N67" s="404"/>
      <c r="O67" s="409"/>
      <c r="P67" s="409"/>
      <c r="Q67" s="393"/>
      <c r="R67" s="415"/>
      <c r="S67" s="415"/>
      <c r="T67" s="415"/>
      <c r="U67" s="415"/>
      <c r="V67" s="415"/>
      <c r="W67" s="415"/>
      <c r="X67" s="415"/>
      <c r="Y67" s="415"/>
      <c r="Z67" s="415"/>
      <c r="AA67" s="415"/>
      <c r="AB67" s="415"/>
      <c r="AC67" s="415"/>
      <c r="AD67" s="415"/>
      <c r="AE67" s="415"/>
      <c r="AF67" s="415"/>
      <c r="AG67" s="415"/>
      <c r="AH67" s="415"/>
      <c r="AI67" s="415"/>
      <c r="AJ67" s="415"/>
      <c r="AK67" s="415"/>
      <c r="AL67" s="415"/>
      <c r="AM67" s="415"/>
      <c r="AN67" s="415"/>
      <c r="AO67" s="415"/>
      <c r="AP67" s="415"/>
      <c r="AQ67" s="415"/>
      <c r="AR67" s="415"/>
      <c r="AS67" s="415"/>
      <c r="AT67" s="415"/>
      <c r="AU67" s="415"/>
      <c r="AV67" s="415"/>
      <c r="AW67" s="415"/>
      <c r="AX67" s="415"/>
      <c r="AY67" s="415"/>
      <c r="AZ67" s="415"/>
      <c r="BA67" s="415"/>
      <c r="BB67" s="415"/>
      <c r="BC67" s="415"/>
      <c r="BD67" s="415"/>
      <c r="BE67" s="415"/>
      <c r="BF67" s="415"/>
      <c r="BG67" s="415"/>
      <c r="BH67" s="415"/>
      <c r="BI67" s="415"/>
      <c r="BJ67" s="415"/>
      <c r="BK67" s="415"/>
      <c r="BL67" s="415"/>
      <c r="BM67" s="415"/>
      <c r="BN67" s="415"/>
      <c r="BO67" s="415"/>
      <c r="BP67" s="415"/>
      <c r="BQ67" s="415"/>
      <c r="BR67" s="415"/>
      <c r="BS67" s="415"/>
      <c r="BT67" s="415"/>
      <c r="BU67" s="415"/>
      <c r="BV67" s="415"/>
      <c r="BW67" s="415"/>
      <c r="BX67" s="415"/>
      <c r="BY67" s="415"/>
      <c r="BZ67" s="415"/>
      <c r="CA67" s="415"/>
      <c r="CB67" s="415"/>
      <c r="CC67" s="415"/>
      <c r="CD67" s="415"/>
      <c r="CE67" s="415"/>
      <c r="CF67" s="415"/>
      <c r="CG67" s="503"/>
    </row>
    <row r="68" spans="1:85" ht="14.65" customHeight="1" x14ac:dyDescent="0.25">
      <c r="A68" s="391"/>
      <c r="B68" s="391"/>
      <c r="C68" s="405"/>
      <c r="D68" s="405"/>
      <c r="E68" s="500"/>
      <c r="F68" s="409"/>
      <c r="G68" s="393"/>
      <c r="H68" s="404"/>
      <c r="I68" s="404"/>
      <c r="J68" s="404"/>
      <c r="K68" s="409"/>
      <c r="L68" s="393"/>
      <c r="M68" s="405" t="s">
        <v>747</v>
      </c>
      <c r="N68" s="404"/>
      <c r="O68" s="409"/>
      <c r="P68" s="409"/>
      <c r="Q68" s="393"/>
      <c r="R68" s="415"/>
      <c r="S68" s="415"/>
      <c r="T68" s="415"/>
      <c r="U68" s="415"/>
      <c r="V68" s="415"/>
      <c r="W68" s="415"/>
      <c r="X68" s="415"/>
      <c r="Y68" s="415"/>
      <c r="Z68" s="415"/>
      <c r="AA68" s="415"/>
      <c r="AB68" s="415"/>
      <c r="AC68" s="415"/>
      <c r="AD68" s="415"/>
      <c r="AE68" s="415"/>
      <c r="AF68" s="415"/>
      <c r="AG68" s="415"/>
      <c r="AH68" s="415"/>
      <c r="AI68" s="415"/>
      <c r="AJ68" s="415"/>
      <c r="AK68" s="415"/>
      <c r="AL68" s="415"/>
      <c r="AM68" s="415"/>
      <c r="AN68" s="415"/>
      <c r="AO68" s="415"/>
      <c r="AP68" s="415"/>
      <c r="AQ68" s="415"/>
      <c r="AR68" s="415"/>
      <c r="AS68" s="415"/>
      <c r="AT68" s="415"/>
      <c r="AU68" s="415"/>
      <c r="AV68" s="415"/>
      <c r="AW68" s="415"/>
      <c r="AX68" s="415"/>
      <c r="AY68" s="415"/>
      <c r="AZ68" s="415"/>
      <c r="BA68" s="415"/>
      <c r="BB68" s="415"/>
      <c r="BC68" s="415"/>
      <c r="BD68" s="415"/>
      <c r="BE68" s="415"/>
      <c r="BF68" s="415"/>
      <c r="BG68" s="415"/>
      <c r="BH68" s="415"/>
      <c r="BI68" s="415"/>
      <c r="BJ68" s="415"/>
      <c r="BK68" s="415"/>
      <c r="BL68" s="415"/>
      <c r="BM68" s="415"/>
      <c r="BN68" s="415"/>
      <c r="BO68" s="415"/>
      <c r="BP68" s="415"/>
      <c r="BQ68" s="415"/>
      <c r="BR68" s="415"/>
      <c r="BS68" s="415"/>
      <c r="BT68" s="415"/>
      <c r="BU68" s="415"/>
      <c r="BV68" s="415"/>
      <c r="BW68" s="415"/>
      <c r="BX68" s="415"/>
      <c r="BY68" s="415"/>
      <c r="BZ68" s="415"/>
      <c r="CA68" s="415"/>
      <c r="CB68" s="415"/>
      <c r="CC68" s="415"/>
      <c r="CD68" s="415"/>
      <c r="CE68" s="415"/>
      <c r="CF68" s="415"/>
      <c r="CG68" s="415"/>
    </row>
    <row r="69" spans="1:85" ht="14.65" customHeight="1" x14ac:dyDescent="0.25">
      <c r="A69" s="391"/>
      <c r="B69" s="391"/>
      <c r="C69" s="405"/>
      <c r="D69" s="405"/>
      <c r="E69" s="500"/>
      <c r="F69" s="409"/>
      <c r="G69" s="393"/>
      <c r="H69" s="404"/>
      <c r="I69" s="404"/>
      <c r="J69" s="404"/>
      <c r="K69" s="409"/>
      <c r="L69" s="393"/>
      <c r="M69" s="405"/>
      <c r="N69" s="404"/>
      <c r="O69" s="409"/>
      <c r="P69" s="409"/>
      <c r="Q69" s="393"/>
      <c r="R69" s="415"/>
      <c r="S69" s="415"/>
      <c r="T69" s="415"/>
      <c r="U69" s="415"/>
      <c r="V69" s="415"/>
      <c r="W69" s="415"/>
      <c r="X69" s="415"/>
      <c r="Y69" s="415"/>
      <c r="Z69" s="415"/>
      <c r="AA69" s="415"/>
      <c r="AB69" s="415"/>
      <c r="AC69" s="415"/>
      <c r="AD69" s="415"/>
      <c r="AE69" s="415"/>
      <c r="AF69" s="415"/>
      <c r="AG69" s="415"/>
      <c r="AH69" s="415"/>
      <c r="AI69" s="415"/>
      <c r="AJ69" s="415"/>
      <c r="AK69" s="415"/>
      <c r="AL69" s="415"/>
      <c r="AM69" s="415"/>
      <c r="AN69" s="415"/>
      <c r="AO69" s="415"/>
      <c r="AP69" s="415"/>
      <c r="AQ69" s="415"/>
      <c r="AR69" s="415"/>
      <c r="AS69" s="415"/>
      <c r="AT69" s="415"/>
      <c r="AU69" s="415"/>
      <c r="AV69" s="415"/>
      <c r="AW69" s="415"/>
      <c r="AX69" s="415"/>
      <c r="AY69" s="415"/>
      <c r="AZ69" s="415"/>
      <c r="BA69" s="415"/>
      <c r="BB69" s="415"/>
      <c r="BC69" s="415"/>
      <c r="BD69" s="415"/>
      <c r="BE69" s="415"/>
      <c r="BF69" s="415"/>
      <c r="BG69" s="415"/>
      <c r="BH69" s="415"/>
      <c r="BI69" s="415"/>
      <c r="BJ69" s="415"/>
      <c r="BK69" s="415"/>
      <c r="BL69" s="415"/>
      <c r="BM69" s="415"/>
      <c r="BN69" s="415"/>
      <c r="BO69" s="415"/>
      <c r="BP69" s="415"/>
      <c r="BQ69" s="415"/>
      <c r="BR69" s="415"/>
      <c r="BS69" s="415"/>
      <c r="BT69" s="415"/>
      <c r="BU69" s="415"/>
      <c r="BV69" s="415"/>
      <c r="BW69" s="415"/>
      <c r="BX69" s="415"/>
      <c r="BY69" s="415"/>
      <c r="BZ69" s="415"/>
      <c r="CA69" s="415"/>
      <c r="CB69" s="415"/>
      <c r="CC69" s="415"/>
      <c r="CD69" s="415"/>
      <c r="CE69" s="415"/>
      <c r="CF69" s="415"/>
      <c r="CG69" s="415"/>
    </row>
    <row r="70" spans="1:85" ht="14.65" customHeight="1" x14ac:dyDescent="0.25">
      <c r="A70" s="391"/>
      <c r="B70" s="391"/>
      <c r="C70" s="405"/>
      <c r="D70" s="405"/>
      <c r="E70" s="500"/>
      <c r="F70" s="409"/>
      <c r="G70" s="393"/>
      <c r="H70" s="404"/>
      <c r="I70" s="404"/>
      <c r="J70" s="404"/>
      <c r="K70" s="409"/>
      <c r="L70" s="393"/>
      <c r="M70" s="405"/>
      <c r="N70" s="404"/>
      <c r="O70" s="409"/>
      <c r="P70" s="409"/>
      <c r="Q70" s="393"/>
      <c r="R70" s="415"/>
      <c r="S70" s="415"/>
      <c r="T70" s="415"/>
      <c r="U70" s="415"/>
      <c r="V70" s="415"/>
      <c r="W70" s="415"/>
      <c r="X70" s="415"/>
      <c r="Y70" s="415"/>
      <c r="Z70" s="415"/>
      <c r="AA70" s="415"/>
      <c r="AB70" s="415"/>
      <c r="AC70" s="415"/>
      <c r="AD70" s="415"/>
      <c r="AE70" s="415"/>
      <c r="AF70" s="415"/>
      <c r="AG70" s="415"/>
      <c r="AH70" s="415"/>
      <c r="AI70" s="415"/>
      <c r="AJ70" s="415"/>
      <c r="AK70" s="415"/>
      <c r="AL70" s="415"/>
      <c r="AM70" s="415"/>
      <c r="AN70" s="415"/>
      <c r="AO70" s="415"/>
      <c r="AP70" s="415"/>
      <c r="AQ70" s="415"/>
      <c r="AR70" s="415"/>
      <c r="AS70" s="415"/>
      <c r="AT70" s="415"/>
      <c r="AU70" s="415"/>
      <c r="AV70" s="415"/>
      <c r="AW70" s="415"/>
      <c r="AX70" s="415"/>
      <c r="AY70" s="415"/>
      <c r="AZ70" s="415"/>
      <c r="BA70" s="415"/>
      <c r="BB70" s="415"/>
      <c r="BC70" s="415"/>
      <c r="BD70" s="415"/>
      <c r="BE70" s="415"/>
      <c r="BF70" s="415"/>
      <c r="BG70" s="415"/>
      <c r="BH70" s="415"/>
      <c r="BI70" s="415"/>
      <c r="BJ70" s="415"/>
      <c r="BK70" s="415"/>
      <c r="BL70" s="415"/>
      <c r="BM70" s="415"/>
      <c r="BN70" s="415"/>
      <c r="BO70" s="415"/>
      <c r="BP70" s="415"/>
      <c r="BQ70" s="415"/>
      <c r="BR70" s="415"/>
      <c r="BS70" s="415"/>
      <c r="BT70" s="415"/>
      <c r="BU70" s="415"/>
      <c r="BV70" s="415"/>
      <c r="BW70" s="415"/>
      <c r="BX70" s="415"/>
      <c r="BY70" s="415"/>
      <c r="BZ70" s="415"/>
      <c r="CA70" s="415"/>
      <c r="CB70" s="415"/>
      <c r="CC70" s="415"/>
      <c r="CD70" s="415"/>
      <c r="CE70" s="415"/>
      <c r="CF70" s="415"/>
      <c r="CG70" s="415"/>
    </row>
    <row r="71" spans="1:85" ht="14.65" customHeight="1" x14ac:dyDescent="0.25">
      <c r="A71" s="400" t="s">
        <v>218</v>
      </c>
      <c r="B71" s="400"/>
      <c r="C71" s="397"/>
      <c r="D71" s="404" t="s">
        <v>36</v>
      </c>
      <c r="E71" s="409"/>
      <c r="F71" s="409"/>
      <c r="G71" s="393"/>
      <c r="H71" s="404" t="s">
        <v>3</v>
      </c>
      <c r="I71" s="404"/>
      <c r="J71" s="409">
        <f>ROUND(+'Ex. 3 Calcs-College'!D24,0)</f>
        <v>74763</v>
      </c>
      <c r="K71" s="409"/>
      <c r="L71" s="393"/>
      <c r="M71" s="404" t="str">
        <f t="shared" ref="M71" si="10">H71</f>
        <v>Interest expense</v>
      </c>
      <c r="N71" s="404"/>
      <c r="O71" s="409">
        <f>+J71</f>
        <v>74763</v>
      </c>
      <c r="P71" s="409"/>
      <c r="Q71" s="393"/>
    </row>
    <row r="72" spans="1:85" ht="14.65" customHeight="1" x14ac:dyDescent="0.25">
      <c r="A72" s="485"/>
      <c r="B72" s="485"/>
      <c r="C72" s="404"/>
      <c r="D72" s="404"/>
      <c r="E72" s="409"/>
      <c r="F72" s="409"/>
      <c r="G72" s="393"/>
      <c r="H72" s="405"/>
      <c r="I72" s="404" t="s">
        <v>28</v>
      </c>
      <c r="J72" s="409"/>
      <c r="K72" s="409">
        <f>+J71</f>
        <v>74763</v>
      </c>
      <c r="L72" s="393"/>
      <c r="M72" s="405"/>
      <c r="N72" s="404" t="str">
        <f t="shared" ref="N72" si="11">I72</f>
        <v>Interest payable</v>
      </c>
      <c r="O72" s="409"/>
      <c r="P72" s="409">
        <f>+K72</f>
        <v>74763</v>
      </c>
      <c r="Q72" s="393"/>
    </row>
    <row r="73" spans="1:85" ht="14.65" customHeight="1" x14ac:dyDescent="0.25">
      <c r="A73" s="391"/>
      <c r="B73" s="391"/>
      <c r="C73" s="404"/>
      <c r="D73" s="404"/>
      <c r="E73" s="409"/>
      <c r="F73" s="409"/>
      <c r="G73" s="393"/>
      <c r="H73" s="405" t="s">
        <v>77</v>
      </c>
      <c r="I73" s="404"/>
      <c r="J73" s="409"/>
      <c r="K73" s="409"/>
      <c r="L73" s="393"/>
      <c r="M73" s="405" t="str">
        <f t="shared" ref="M73" si="12">H73</f>
        <v>[To accrue interest payable on lease]</v>
      </c>
      <c r="N73" s="404"/>
      <c r="O73" s="409"/>
      <c r="P73" s="409"/>
      <c r="Q73" s="393"/>
    </row>
    <row r="74" spans="1:85" x14ac:dyDescent="0.25">
      <c r="A74" s="391"/>
      <c r="B74" s="391"/>
      <c r="C74" s="404"/>
      <c r="D74" s="404"/>
      <c r="E74" s="409"/>
      <c r="F74" s="409"/>
      <c r="G74" s="393"/>
      <c r="H74" s="405"/>
      <c r="I74" s="404"/>
      <c r="J74" s="409"/>
      <c r="K74" s="409"/>
      <c r="L74" s="393"/>
      <c r="M74" s="405"/>
      <c r="N74" s="404"/>
      <c r="Q74" s="393"/>
    </row>
    <row r="75" spans="1:85" x14ac:dyDescent="0.25">
      <c r="A75" s="391"/>
      <c r="B75" s="391"/>
      <c r="D75" s="404"/>
      <c r="E75" s="409"/>
      <c r="F75" s="409"/>
      <c r="G75" s="393"/>
      <c r="H75" s="404"/>
      <c r="I75" s="404"/>
      <c r="J75" s="409"/>
      <c r="K75" s="409"/>
      <c r="L75" s="393"/>
      <c r="M75" s="404"/>
      <c r="N75" s="404"/>
      <c r="O75" s="409"/>
      <c r="P75" s="409"/>
      <c r="Q75" s="393"/>
    </row>
    <row r="76" spans="1:85" x14ac:dyDescent="0.25">
      <c r="A76" s="391"/>
      <c r="B76" s="391"/>
      <c r="C76" s="404"/>
      <c r="D76" s="404"/>
      <c r="E76" s="409"/>
      <c r="F76" s="409"/>
      <c r="G76" s="393"/>
      <c r="H76" s="405"/>
      <c r="I76" s="404"/>
      <c r="J76" s="409"/>
      <c r="K76" s="409"/>
      <c r="L76" s="393"/>
      <c r="M76" s="405"/>
      <c r="N76" s="404"/>
      <c r="Q76" s="393"/>
    </row>
    <row r="77" spans="1:85" x14ac:dyDescent="0.25">
      <c r="C77" s="393"/>
      <c r="D77" s="393"/>
      <c r="E77" s="504">
        <f>SUM(E6:E76)-SUM(F6:F76)</f>
        <v>0</v>
      </c>
      <c r="F77" s="392"/>
      <c r="G77" s="393"/>
      <c r="H77" s="393"/>
      <c r="I77" s="393"/>
      <c r="J77" s="504">
        <f>SUM(J6:J76)-SUM(K6:K76)</f>
        <v>0</v>
      </c>
      <c r="K77" s="409"/>
      <c r="L77" s="393"/>
      <c r="M77" s="393"/>
      <c r="N77" s="393"/>
      <c r="O77" s="505">
        <f>SUM(O6:O76)-SUM(P6:P76)</f>
        <v>0</v>
      </c>
      <c r="P77" s="392"/>
      <c r="Q77" s="393"/>
    </row>
    <row r="78" spans="1:85" x14ac:dyDescent="0.25">
      <c r="C78" s="393"/>
      <c r="D78" s="393"/>
      <c r="E78" s="392"/>
      <c r="F78" s="392"/>
      <c r="G78" s="393"/>
      <c r="H78" s="393"/>
      <c r="I78" s="393"/>
      <c r="J78" s="392"/>
      <c r="K78" s="392"/>
      <c r="L78" s="393"/>
      <c r="M78" s="393"/>
      <c r="N78" s="393"/>
      <c r="O78" s="392"/>
      <c r="P78" s="392"/>
      <c r="Q78" s="393"/>
    </row>
    <row r="79" spans="1:85" x14ac:dyDescent="0.25">
      <c r="C79" s="746" t="s">
        <v>68</v>
      </c>
      <c r="D79" s="747"/>
      <c r="E79" s="747"/>
      <c r="F79" s="748"/>
      <c r="G79" s="393"/>
      <c r="H79" s="746" t="s">
        <v>68</v>
      </c>
      <c r="I79" s="747"/>
      <c r="J79" s="747"/>
      <c r="K79" s="748"/>
      <c r="L79" s="393"/>
      <c r="M79" s="746" t="s">
        <v>68</v>
      </c>
      <c r="N79" s="747"/>
      <c r="O79" s="747"/>
      <c r="P79" s="748"/>
      <c r="Q79" s="393"/>
    </row>
    <row r="80" spans="1:85" x14ac:dyDescent="0.25">
      <c r="C80" s="393"/>
      <c r="D80" s="393"/>
      <c r="E80" s="392"/>
      <c r="F80" s="392"/>
      <c r="G80" s="393"/>
      <c r="H80" s="393"/>
      <c r="I80" s="393"/>
      <c r="J80" s="392"/>
      <c r="K80" s="392"/>
      <c r="L80" s="393"/>
      <c r="M80" s="393"/>
      <c r="N80" s="393"/>
      <c r="O80" s="392"/>
      <c r="P80" s="392"/>
      <c r="Q80" s="393"/>
    </row>
    <row r="81" spans="3:17" x14ac:dyDescent="0.25">
      <c r="C81" s="393"/>
      <c r="D81" s="393"/>
      <c r="E81" s="392"/>
      <c r="F81" s="392"/>
      <c r="G81" s="393"/>
      <c r="H81" s="393"/>
      <c r="I81" s="393"/>
      <c r="J81" s="392"/>
      <c r="K81" s="392"/>
      <c r="L81" s="393"/>
      <c r="M81" s="393"/>
      <c r="N81" s="393"/>
      <c r="O81" s="392"/>
      <c r="P81" s="392"/>
      <c r="Q81" s="393"/>
    </row>
    <row r="82" spans="3:17" x14ac:dyDescent="0.25">
      <c r="C82" s="393"/>
      <c r="D82" s="393"/>
      <c r="E82" s="392"/>
      <c r="F82" s="392"/>
      <c r="G82" s="393"/>
      <c r="H82" s="393"/>
      <c r="I82" s="393"/>
      <c r="J82" s="392"/>
      <c r="K82" s="392"/>
      <c r="L82" s="393"/>
      <c r="M82" s="393"/>
      <c r="N82" s="393"/>
      <c r="O82" s="392"/>
      <c r="P82" s="392"/>
      <c r="Q82" s="393"/>
    </row>
    <row r="83" spans="3:17" x14ac:dyDescent="0.25">
      <c r="C83" s="393"/>
      <c r="D83" s="393"/>
      <c r="E83" s="392"/>
      <c r="F83" s="392"/>
      <c r="G83" s="393"/>
      <c r="H83" s="393"/>
      <c r="I83" s="393"/>
      <c r="J83" s="392"/>
      <c r="K83" s="392"/>
      <c r="L83" s="393"/>
      <c r="M83" s="393"/>
      <c r="N83" s="393"/>
      <c r="O83" s="392"/>
      <c r="P83" s="392"/>
      <c r="Q83" s="393"/>
    </row>
    <row r="84" spans="3:17" x14ac:dyDescent="0.25">
      <c r="C84" s="393"/>
      <c r="D84" s="393"/>
      <c r="E84" s="392"/>
      <c r="F84" s="392"/>
      <c r="G84" s="393"/>
      <c r="H84" s="393"/>
      <c r="I84" s="393"/>
      <c r="J84" s="392"/>
      <c r="K84" s="392"/>
      <c r="L84" s="393"/>
      <c r="M84" s="393"/>
      <c r="N84" s="393"/>
      <c r="O84" s="392"/>
      <c r="P84" s="392"/>
      <c r="Q84" s="393"/>
    </row>
    <row r="85" spans="3:17" x14ac:dyDescent="0.25">
      <c r="C85" s="393"/>
      <c r="D85" s="393"/>
      <c r="E85" s="392"/>
      <c r="F85" s="392"/>
      <c r="G85" s="393"/>
      <c r="H85" s="393"/>
      <c r="I85" s="393"/>
      <c r="J85" s="392"/>
      <c r="K85" s="392"/>
      <c r="L85" s="393"/>
      <c r="M85" s="393"/>
      <c r="N85" s="393"/>
      <c r="O85" s="392"/>
      <c r="P85" s="392"/>
      <c r="Q85" s="393"/>
    </row>
    <row r="86" spans="3:17" x14ac:dyDescent="0.25">
      <c r="C86" s="393"/>
      <c r="D86" s="393"/>
      <c r="E86" s="392"/>
      <c r="F86" s="392"/>
      <c r="G86" s="393"/>
      <c r="H86" s="393"/>
      <c r="I86" s="393"/>
      <c r="J86" s="392"/>
      <c r="K86" s="392"/>
      <c r="L86" s="393"/>
      <c r="M86" s="393"/>
      <c r="N86" s="393"/>
      <c r="O86" s="392"/>
      <c r="P86" s="392"/>
      <c r="Q86" s="393"/>
    </row>
    <row r="87" spans="3:17" x14ac:dyDescent="0.25">
      <c r="C87" s="393"/>
      <c r="D87" s="393"/>
      <c r="E87" s="392"/>
      <c r="F87" s="392"/>
      <c r="G87" s="393"/>
      <c r="H87" s="393"/>
      <c r="I87" s="393"/>
      <c r="J87" s="392"/>
      <c r="K87" s="392"/>
      <c r="L87" s="393"/>
      <c r="M87" s="393"/>
      <c r="N87" s="393"/>
      <c r="O87" s="392"/>
      <c r="P87" s="392"/>
      <c r="Q87" s="393"/>
    </row>
  </sheetData>
  <mergeCells count="7">
    <mergeCell ref="A1:P1"/>
    <mergeCell ref="C4:F4"/>
    <mergeCell ref="H4:K4"/>
    <mergeCell ref="M4:P4"/>
    <mergeCell ref="C79:F79"/>
    <mergeCell ref="H79:K79"/>
    <mergeCell ref="M79:P79"/>
  </mergeCells>
  <pageMargins left="0.7" right="0.7" top="0.75" bottom="0.75" header="0.3" footer="0.3"/>
  <pageSetup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2"/>
  <sheetViews>
    <sheetView topLeftCell="A7" zoomScale="85" zoomScaleNormal="85" workbookViewId="0">
      <selection activeCell="L26" sqref="L26"/>
    </sheetView>
  </sheetViews>
  <sheetFormatPr defaultColWidth="9" defaultRowHeight="18.75" x14ac:dyDescent="0.3"/>
  <cols>
    <col min="1" max="1" width="5.5703125" style="60" customWidth="1"/>
    <col min="2" max="2" width="20.5703125" style="60" customWidth="1"/>
    <col min="3" max="3" width="17" style="60" customWidth="1"/>
    <col min="4" max="4" width="20.7109375" style="60" customWidth="1"/>
    <col min="5" max="5" width="16" style="60" bestFit="1" customWidth="1"/>
    <col min="6" max="6" width="21.85546875" style="60" customWidth="1"/>
    <col min="7" max="7" width="15.85546875" style="60" customWidth="1"/>
    <col min="8" max="8" width="16" style="60" bestFit="1" customWidth="1"/>
    <col min="9" max="9" width="12.42578125" style="60" customWidth="1"/>
    <col min="10" max="10" width="22" style="60" customWidth="1"/>
    <col min="11" max="11" width="17" style="60" customWidth="1"/>
    <col min="12" max="13" width="18.7109375" style="60" customWidth="1"/>
    <col min="14" max="14" width="18.7109375" style="161" customWidth="1"/>
    <col min="15" max="15" width="14.5703125" style="161" customWidth="1"/>
    <col min="16" max="16" width="17.28515625" style="60" customWidth="1"/>
    <col min="17" max="17" width="17" style="60" customWidth="1"/>
    <col min="18" max="16384" width="9" style="60"/>
  </cols>
  <sheetData>
    <row r="2" spans="2:17" x14ac:dyDescent="0.3">
      <c r="B2" s="78" t="s">
        <v>240</v>
      </c>
    </row>
    <row r="3" spans="2:17" x14ac:dyDescent="0.3">
      <c r="J3" s="146" t="s">
        <v>290</v>
      </c>
      <c r="K3" s="146"/>
      <c r="L3" s="146"/>
      <c r="M3" s="146"/>
      <c r="N3" s="60"/>
    </row>
    <row r="4" spans="2:17" x14ac:dyDescent="0.3">
      <c r="B4" s="60" t="s">
        <v>244</v>
      </c>
      <c r="D4" s="154">
        <v>66000000</v>
      </c>
      <c r="E4" s="165"/>
      <c r="F4" s="152" t="s">
        <v>338</v>
      </c>
      <c r="J4" s="60" t="s">
        <v>249</v>
      </c>
      <c r="M4" s="140" t="s">
        <v>260</v>
      </c>
      <c r="N4" s="60"/>
    </row>
    <row r="5" spans="2:17" x14ac:dyDescent="0.3">
      <c r="D5" s="166">
        <f>+D9-D10-D11-D12-D4</f>
        <v>0</v>
      </c>
      <c r="E5" s="112"/>
      <c r="J5" s="60" t="s">
        <v>777</v>
      </c>
      <c r="L5" s="154">
        <f>+F41</f>
        <v>63425925</v>
      </c>
      <c r="N5" s="60"/>
    </row>
    <row r="6" spans="2:17" x14ac:dyDescent="0.3">
      <c r="B6" s="144" t="s">
        <v>248</v>
      </c>
      <c r="C6" s="144"/>
      <c r="D6" s="144"/>
      <c r="J6" s="60" t="s">
        <v>294</v>
      </c>
      <c r="L6" s="211">
        <f>+L5*2%</f>
        <v>1268518.5</v>
      </c>
      <c r="N6" s="60"/>
    </row>
    <row r="7" spans="2:17" x14ac:dyDescent="0.3">
      <c r="B7" s="60" t="s">
        <v>249</v>
      </c>
      <c r="D7" s="151" t="s">
        <v>250</v>
      </c>
      <c r="J7" s="152" t="s">
        <v>402</v>
      </c>
      <c r="M7" s="154">
        <f>SUM(L5:L6)</f>
        <v>64694443.5</v>
      </c>
      <c r="N7" s="60"/>
    </row>
    <row r="8" spans="2:17" x14ac:dyDescent="0.3">
      <c r="B8" s="60" t="s">
        <v>30</v>
      </c>
      <c r="D8" s="153">
        <v>40</v>
      </c>
      <c r="F8" s="148"/>
      <c r="G8" s="181" t="s">
        <v>328</v>
      </c>
      <c r="J8" s="60" t="s">
        <v>246</v>
      </c>
      <c r="M8" s="141">
        <v>681640</v>
      </c>
      <c r="N8" s="60"/>
    </row>
    <row r="9" spans="2:17" x14ac:dyDescent="0.3">
      <c r="B9" s="60" t="s">
        <v>245</v>
      </c>
      <c r="D9" s="154">
        <v>68010400</v>
      </c>
      <c r="G9" s="60" t="s">
        <v>329</v>
      </c>
      <c r="J9" s="60" t="s">
        <v>247</v>
      </c>
      <c r="M9" s="212">
        <v>1000000</v>
      </c>
      <c r="N9" s="60"/>
    </row>
    <row r="10" spans="2:17" ht="19.5" thickBot="1" x14ac:dyDescent="0.35">
      <c r="B10" s="60" t="s">
        <v>246</v>
      </c>
      <c r="D10" s="154">
        <v>510400</v>
      </c>
      <c r="J10" s="152" t="s">
        <v>293</v>
      </c>
      <c r="M10" s="210">
        <f>SUM(M7:M9)</f>
        <v>66376083.5</v>
      </c>
      <c r="N10" s="60"/>
    </row>
    <row r="11" spans="2:17" ht="19.5" thickTop="1" x14ac:dyDescent="0.3">
      <c r="B11" s="60" t="s">
        <v>327</v>
      </c>
      <c r="D11" s="154">
        <v>1000000</v>
      </c>
    </row>
    <row r="12" spans="2:17" x14ac:dyDescent="0.3">
      <c r="B12" s="60" t="s">
        <v>247</v>
      </c>
      <c r="D12" s="154">
        <v>500000</v>
      </c>
      <c r="J12" s="60" t="s">
        <v>824</v>
      </c>
      <c r="M12" s="142">
        <f>+M7</f>
        <v>64694443.5</v>
      </c>
      <c r="N12" s="60"/>
      <c r="P12" s="142"/>
    </row>
    <row r="13" spans="2:17" x14ac:dyDescent="0.3">
      <c r="B13" s="60" t="s">
        <v>292</v>
      </c>
      <c r="D13" s="143">
        <v>7.1249999999999994E-2</v>
      </c>
      <c r="J13" s="60" t="s">
        <v>409</v>
      </c>
      <c r="L13" s="138">
        <f>+L5</f>
        <v>63425925</v>
      </c>
      <c r="N13" s="60"/>
    </row>
    <row r="14" spans="2:17" x14ac:dyDescent="0.3">
      <c r="F14" s="141"/>
      <c r="G14" s="151"/>
      <c r="J14" s="60" t="s">
        <v>404</v>
      </c>
      <c r="L14" s="213">
        <f>-+H41</f>
        <v>-660669.32183733827</v>
      </c>
      <c r="N14" s="60"/>
    </row>
    <row r="15" spans="2:17" x14ac:dyDescent="0.3">
      <c r="B15" s="146" t="s">
        <v>778</v>
      </c>
      <c r="C15" s="146"/>
      <c r="D15" s="146"/>
      <c r="E15" s="146"/>
      <c r="F15" s="146"/>
      <c r="J15" s="60" t="s">
        <v>405</v>
      </c>
      <c r="M15" s="213">
        <f>SUM(L13:L14)</f>
        <v>62765255.678162664</v>
      </c>
      <c r="N15" s="60"/>
      <c r="O15" s="162"/>
      <c r="Q15" s="142"/>
    </row>
    <row r="16" spans="2:17" ht="19.5" thickBot="1" x14ac:dyDescent="0.35">
      <c r="B16" s="60" t="s">
        <v>291</v>
      </c>
      <c r="E16" s="151" t="str">
        <f>+D7</f>
        <v>7/1/20A0</v>
      </c>
      <c r="J16" s="152" t="s">
        <v>406</v>
      </c>
      <c r="M16" s="214">
        <f>+M12-M15</f>
        <v>1929187.8218373358</v>
      </c>
      <c r="N16" s="60"/>
      <c r="O16" s="162"/>
    </row>
    <row r="17" spans="1:17" ht="19.5" thickTop="1" x14ac:dyDescent="0.3">
      <c r="B17" s="60" t="s">
        <v>399</v>
      </c>
      <c r="C17" s="141"/>
      <c r="E17" s="151" t="s">
        <v>253</v>
      </c>
      <c r="N17" s="60"/>
      <c r="O17" s="162"/>
    </row>
    <row r="18" spans="1:17" x14ac:dyDescent="0.3">
      <c r="B18" s="48" t="s">
        <v>400</v>
      </c>
      <c r="C18" s="48"/>
      <c r="E18" s="142">
        <f>+C30</f>
        <v>5175600</v>
      </c>
      <c r="F18" s="209">
        <f>+E18/2</f>
        <v>2587800</v>
      </c>
      <c r="J18" s="48" t="s">
        <v>403</v>
      </c>
      <c r="M18" s="708">
        <v>485000</v>
      </c>
      <c r="N18" s="60"/>
    </row>
    <row r="19" spans="1:17" x14ac:dyDescent="0.3">
      <c r="B19" s="208" t="s">
        <v>401</v>
      </c>
      <c r="C19" s="48"/>
      <c r="E19" s="707">
        <f>+D10+D11+D12</f>
        <v>2010400</v>
      </c>
      <c r="F19" s="710">
        <f>+E19/2/40</f>
        <v>25130</v>
      </c>
      <c r="J19" s="60" t="s">
        <v>779</v>
      </c>
      <c r="M19" s="143">
        <v>5.0549999999999998E-2</v>
      </c>
      <c r="N19" s="60"/>
    </row>
    <row r="20" spans="1:17" ht="19.5" thickBot="1" x14ac:dyDescent="0.35">
      <c r="B20" s="60" t="s">
        <v>398</v>
      </c>
      <c r="F20" s="207">
        <f>SUM(F18:F19)</f>
        <v>2612930</v>
      </c>
      <c r="N20" s="60"/>
    </row>
    <row r="21" spans="1:17" ht="19.5" thickTop="1" x14ac:dyDescent="0.3">
      <c r="F21" s="209"/>
      <c r="J21" s="146" t="s">
        <v>297</v>
      </c>
      <c r="K21" s="146"/>
      <c r="L21" s="146"/>
      <c r="M21" s="146"/>
      <c r="N21" s="146"/>
    </row>
    <row r="22" spans="1:17" x14ac:dyDescent="0.3">
      <c r="F22" s="209"/>
      <c r="J22" s="48" t="s">
        <v>400</v>
      </c>
      <c r="K22" s="48"/>
      <c r="M22" s="142">
        <f>+J30</f>
        <v>4175600</v>
      </c>
      <c r="N22" s="209">
        <f>+M22/2</f>
        <v>2087800</v>
      </c>
    </row>
    <row r="23" spans="1:17" x14ac:dyDescent="0.3">
      <c r="F23" s="209"/>
      <c r="J23" s="208" t="s">
        <v>407</v>
      </c>
      <c r="K23" s="48"/>
      <c r="M23" s="142">
        <f>+L6+M8+M9-M18</f>
        <v>2465158.5</v>
      </c>
      <c r="N23" s="710">
        <f>+M23/2/40</f>
        <v>30814.481250000001</v>
      </c>
    </row>
    <row r="24" spans="1:17" ht="19.5" thickBot="1" x14ac:dyDescent="0.35">
      <c r="F24" s="209"/>
      <c r="J24" s="60" t="s">
        <v>398</v>
      </c>
      <c r="N24" s="207">
        <f>SUM(N22:N23)</f>
        <v>2118614.4812500002</v>
      </c>
    </row>
    <row r="25" spans="1:17" ht="19.5" thickTop="1" x14ac:dyDescent="0.3">
      <c r="F25" s="209"/>
      <c r="N25" s="60"/>
    </row>
    <row r="26" spans="1:17" x14ac:dyDescent="0.3">
      <c r="B26" s="320" t="s">
        <v>623</v>
      </c>
      <c r="C26" s="60" t="s">
        <v>624</v>
      </c>
      <c r="F26" s="209"/>
    </row>
    <row r="28" spans="1:17" x14ac:dyDescent="0.3">
      <c r="B28" s="805" t="s">
        <v>295</v>
      </c>
      <c r="C28" s="806"/>
      <c r="D28" s="806"/>
      <c r="E28" s="806"/>
      <c r="F28" s="806"/>
      <c r="G28" s="806"/>
      <c r="H28" s="807"/>
      <c r="J28" s="809" t="s">
        <v>296</v>
      </c>
      <c r="K28" s="810"/>
      <c r="L28" s="810"/>
      <c r="M28" s="810"/>
      <c r="N28" s="810"/>
      <c r="O28" s="810"/>
      <c r="P28" s="810"/>
      <c r="Q28" s="811"/>
    </row>
    <row r="29" spans="1:17" s="139" customFormat="1" ht="112.5" x14ac:dyDescent="0.3">
      <c r="B29" s="801" t="s">
        <v>7</v>
      </c>
      <c r="C29" s="167" t="s">
        <v>241</v>
      </c>
      <c r="D29" s="168" t="s">
        <v>242</v>
      </c>
      <c r="E29" s="803" t="s">
        <v>243</v>
      </c>
      <c r="F29" s="167" t="s">
        <v>33</v>
      </c>
      <c r="G29" s="150" t="s">
        <v>622</v>
      </c>
      <c r="H29" s="149" t="s">
        <v>326</v>
      </c>
      <c r="J29" s="197" t="s">
        <v>241</v>
      </c>
      <c r="K29" s="168" t="s">
        <v>242</v>
      </c>
      <c r="L29" s="808" t="s">
        <v>243</v>
      </c>
      <c r="M29" s="197" t="s">
        <v>33</v>
      </c>
      <c r="N29" s="215" t="s">
        <v>620</v>
      </c>
      <c r="O29" s="215" t="s">
        <v>397</v>
      </c>
      <c r="P29" s="215" t="s">
        <v>621</v>
      </c>
      <c r="Q29" s="215" t="s">
        <v>825</v>
      </c>
    </row>
    <row r="30" spans="1:17" s="139" customFormat="1" x14ac:dyDescent="0.3">
      <c r="B30" s="802"/>
      <c r="C30" s="216">
        <v>5175600</v>
      </c>
      <c r="D30" s="217">
        <v>7.1249999999999994E-2</v>
      </c>
      <c r="E30" s="804"/>
      <c r="F30" s="216">
        <f>+D9</f>
        <v>68010400</v>
      </c>
      <c r="G30" s="218">
        <v>5.1254037901380029E-4</v>
      </c>
      <c r="H30" s="216">
        <f>+D11</f>
        <v>1000000</v>
      </c>
      <c r="I30" s="219"/>
      <c r="J30" s="220">
        <v>4175600</v>
      </c>
      <c r="K30" s="217">
        <f>+M19</f>
        <v>5.0549999999999998E-2</v>
      </c>
      <c r="L30" s="804"/>
      <c r="M30" s="216">
        <f>+M10</f>
        <v>66376083.5</v>
      </c>
      <c r="N30" s="221">
        <v>3.4328203185972502E-4</v>
      </c>
      <c r="O30" s="222">
        <f>-M18</f>
        <v>-485000</v>
      </c>
      <c r="P30" s="221">
        <v>1.3654746546139952E-3</v>
      </c>
      <c r="Q30" s="222">
        <f>+M16</f>
        <v>1929187.8218373358</v>
      </c>
    </row>
    <row r="31" spans="1:17" x14ac:dyDescent="0.3">
      <c r="B31" s="170" t="s">
        <v>250</v>
      </c>
      <c r="C31" s="169"/>
      <c r="D31" s="169"/>
      <c r="E31" s="169"/>
      <c r="F31" s="169"/>
      <c r="G31" s="169"/>
      <c r="H31" s="169"/>
      <c r="I31" s="145"/>
      <c r="J31" s="173"/>
      <c r="K31" s="173"/>
      <c r="L31" s="173"/>
      <c r="M31" s="172"/>
      <c r="N31" s="172"/>
      <c r="O31" s="172"/>
      <c r="P31" s="172"/>
      <c r="Q31" s="172"/>
    </row>
    <row r="32" spans="1:17" x14ac:dyDescent="0.3">
      <c r="A32" s="60">
        <v>1</v>
      </c>
      <c r="B32" s="170" t="s">
        <v>251</v>
      </c>
      <c r="C32" s="171">
        <f>+C30</f>
        <v>5175600</v>
      </c>
      <c r="D32" s="171">
        <f>+F30*$D$30</f>
        <v>4845741</v>
      </c>
      <c r="E32" s="171">
        <f>+C32-D32</f>
        <v>329859</v>
      </c>
      <c r="F32" s="171">
        <f>+F30-E32</f>
        <v>67680541</v>
      </c>
      <c r="G32" s="171">
        <f>+F30*$G$30</f>
        <v>34858.076192880166</v>
      </c>
      <c r="H32" s="171">
        <f>+H30-G32</f>
        <v>965141.92380711983</v>
      </c>
      <c r="I32" s="145"/>
      <c r="J32" s="173"/>
      <c r="K32" s="173"/>
      <c r="L32" s="173"/>
      <c r="M32" s="172"/>
      <c r="N32" s="172"/>
      <c r="O32" s="172"/>
      <c r="P32" s="172"/>
      <c r="Q32" s="172"/>
    </row>
    <row r="33" spans="1:17" x14ac:dyDescent="0.3">
      <c r="A33" s="60">
        <v>2</v>
      </c>
      <c r="B33" s="170" t="s">
        <v>252</v>
      </c>
      <c r="C33" s="171">
        <f t="shared" ref="C33:C37" si="0">+C32</f>
        <v>5175600</v>
      </c>
      <c r="D33" s="171">
        <f>ROUND(+F32*$D$30,0)</f>
        <v>4822239</v>
      </c>
      <c r="E33" s="171">
        <f t="shared" ref="E33:E47" si="1">+C33-D33</f>
        <v>353361</v>
      </c>
      <c r="F33" s="171">
        <f t="shared" ref="F33:F37" si="2">+F32-E33</f>
        <v>67327180</v>
      </c>
      <c r="G33" s="171">
        <f t="shared" ref="G33:G71" si="3">+F32*$G$30</f>
        <v>34689.010135999051</v>
      </c>
      <c r="H33" s="171">
        <f t="shared" ref="H33:H70" si="4">+H32-G33</f>
        <v>930452.91367112077</v>
      </c>
      <c r="I33" s="145"/>
      <c r="J33" s="173"/>
      <c r="K33" s="173"/>
      <c r="L33" s="173"/>
      <c r="M33" s="172"/>
      <c r="N33" s="172"/>
      <c r="O33" s="172"/>
      <c r="P33" s="172"/>
      <c r="Q33" s="172"/>
    </row>
    <row r="34" spans="1:17" x14ac:dyDescent="0.3">
      <c r="A34" s="60">
        <v>3</v>
      </c>
      <c r="B34" s="170" t="s">
        <v>253</v>
      </c>
      <c r="C34" s="171">
        <f t="shared" si="0"/>
        <v>5175600</v>
      </c>
      <c r="D34" s="171">
        <f>ROUND(+F33*$D$30,0)</f>
        <v>4797062</v>
      </c>
      <c r="E34" s="171">
        <f t="shared" si="1"/>
        <v>378538</v>
      </c>
      <c r="F34" s="171">
        <f t="shared" si="2"/>
        <v>66948642</v>
      </c>
      <c r="G34" s="171">
        <f t="shared" si="3"/>
        <v>34507.898355130354</v>
      </c>
      <c r="H34" s="171">
        <f t="shared" si="4"/>
        <v>895945.01531599043</v>
      </c>
      <c r="I34" s="145"/>
      <c r="J34" s="173"/>
      <c r="K34" s="173"/>
      <c r="L34" s="173"/>
      <c r="M34" s="172"/>
      <c r="N34" s="172"/>
      <c r="O34" s="172"/>
      <c r="P34" s="172"/>
      <c r="Q34" s="172"/>
    </row>
    <row r="35" spans="1:17" x14ac:dyDescent="0.3">
      <c r="A35" s="60">
        <v>4</v>
      </c>
      <c r="B35" s="170" t="s">
        <v>254</v>
      </c>
      <c r="C35" s="171">
        <f t="shared" si="0"/>
        <v>5175600</v>
      </c>
      <c r="D35" s="171">
        <f>ROUND(+F34*$D$30,0)</f>
        <v>4770091</v>
      </c>
      <c r="E35" s="171">
        <f t="shared" si="1"/>
        <v>405509</v>
      </c>
      <c r="F35" s="171">
        <f t="shared" si="2"/>
        <v>66543133</v>
      </c>
      <c r="G35" s="171">
        <f t="shared" si="3"/>
        <v>34313.882345139231</v>
      </c>
      <c r="H35" s="171">
        <f t="shared" si="4"/>
        <v>861631.13297085115</v>
      </c>
      <c r="I35" s="145"/>
      <c r="J35" s="173"/>
      <c r="K35" s="173"/>
      <c r="L35" s="173"/>
      <c r="M35" s="172"/>
      <c r="N35" s="172"/>
      <c r="O35" s="172"/>
      <c r="P35" s="172"/>
      <c r="Q35" s="172"/>
    </row>
    <row r="36" spans="1:17" x14ac:dyDescent="0.3">
      <c r="A36" s="60">
        <v>5</v>
      </c>
      <c r="B36" s="170" t="s">
        <v>255</v>
      </c>
      <c r="C36" s="171">
        <f t="shared" si="0"/>
        <v>5175600</v>
      </c>
      <c r="D36" s="171">
        <f>ROUND(+F35*$D$30,0)</f>
        <v>4741198</v>
      </c>
      <c r="E36" s="171">
        <f t="shared" si="1"/>
        <v>434402</v>
      </c>
      <c r="F36" s="171">
        <f t="shared" si="2"/>
        <v>66108731</v>
      </c>
      <c r="G36" s="171">
        <f t="shared" si="3"/>
        <v>34106.042608585725</v>
      </c>
      <c r="H36" s="171">
        <f t="shared" si="4"/>
        <v>827525.09036226547</v>
      </c>
      <c r="I36" s="145"/>
      <c r="J36" s="173"/>
      <c r="K36" s="173"/>
      <c r="L36" s="173"/>
      <c r="M36" s="172"/>
      <c r="N36" s="172"/>
      <c r="O36" s="172"/>
      <c r="P36" s="172"/>
      <c r="Q36" s="172"/>
    </row>
    <row r="37" spans="1:17" x14ac:dyDescent="0.3">
      <c r="A37" s="60">
        <v>6</v>
      </c>
      <c r="B37" s="170" t="s">
        <v>256</v>
      </c>
      <c r="C37" s="171">
        <f t="shared" si="0"/>
        <v>5175600</v>
      </c>
      <c r="D37" s="171">
        <f>ROUND(+F36*$D$30,0)</f>
        <v>4710247</v>
      </c>
      <c r="E37" s="171">
        <f t="shared" si="1"/>
        <v>465353</v>
      </c>
      <c r="F37" s="171">
        <f t="shared" si="2"/>
        <v>65643378</v>
      </c>
      <c r="G37" s="171">
        <f t="shared" si="3"/>
        <v>33883.394042861371</v>
      </c>
      <c r="H37" s="171">
        <f t="shared" si="4"/>
        <v>793641.69631940406</v>
      </c>
      <c r="I37" s="145"/>
      <c r="J37" s="173"/>
      <c r="K37" s="173"/>
      <c r="L37" s="173"/>
      <c r="M37" s="172"/>
      <c r="N37" s="172"/>
      <c r="O37" s="172"/>
      <c r="P37" s="172"/>
      <c r="Q37" s="172"/>
    </row>
    <row r="38" spans="1:17" x14ac:dyDescent="0.3">
      <c r="A38" s="60">
        <v>7</v>
      </c>
      <c r="B38" s="170" t="s">
        <v>257</v>
      </c>
      <c r="C38" s="171">
        <f t="shared" ref="C38:C70" si="5">+C37</f>
        <v>5175600</v>
      </c>
      <c r="D38" s="171">
        <f t="shared" ref="D38:D71" si="6">ROUND(+F37*$D$30,0)</f>
        <v>4677091</v>
      </c>
      <c r="E38" s="171">
        <f t="shared" si="1"/>
        <v>498509</v>
      </c>
      <c r="F38" s="171">
        <f t="shared" ref="F38:F47" si="7">+F37-E38</f>
        <v>65144869</v>
      </c>
      <c r="G38" s="171">
        <f t="shared" si="3"/>
        <v>33644.881839866161</v>
      </c>
      <c r="H38" s="171">
        <f t="shared" si="4"/>
        <v>759996.81447953789</v>
      </c>
      <c r="I38" s="145"/>
      <c r="J38" s="173"/>
      <c r="K38" s="173"/>
      <c r="L38" s="173"/>
      <c r="M38" s="172"/>
      <c r="N38" s="172"/>
      <c r="O38" s="172"/>
      <c r="P38" s="172"/>
      <c r="Q38" s="172"/>
    </row>
    <row r="39" spans="1:17" x14ac:dyDescent="0.3">
      <c r="A39" s="60">
        <v>8</v>
      </c>
      <c r="B39" s="170" t="s">
        <v>258</v>
      </c>
      <c r="C39" s="171">
        <f t="shared" si="5"/>
        <v>5175600</v>
      </c>
      <c r="D39" s="171">
        <f t="shared" si="6"/>
        <v>4641572</v>
      </c>
      <c r="E39" s="171">
        <f t="shared" si="1"/>
        <v>534028</v>
      </c>
      <c r="F39" s="171">
        <f t="shared" si="7"/>
        <v>64610841</v>
      </c>
      <c r="G39" s="171">
        <f t="shared" si="3"/>
        <v>33389.375848064366</v>
      </c>
      <c r="H39" s="171">
        <f t="shared" si="4"/>
        <v>726607.43863147357</v>
      </c>
      <c r="I39" s="145"/>
      <c r="J39" s="173"/>
      <c r="K39" s="173"/>
      <c r="L39" s="173"/>
      <c r="M39" s="172"/>
      <c r="N39" s="172"/>
      <c r="O39" s="172"/>
      <c r="P39" s="172"/>
      <c r="Q39" s="172"/>
    </row>
    <row r="40" spans="1:17" x14ac:dyDescent="0.3">
      <c r="A40" s="60">
        <v>9</v>
      </c>
      <c r="B40" s="170" t="s">
        <v>259</v>
      </c>
      <c r="C40" s="171">
        <f t="shared" si="5"/>
        <v>5175600</v>
      </c>
      <c r="D40" s="171">
        <f t="shared" si="6"/>
        <v>4603522</v>
      </c>
      <c r="E40" s="171">
        <f t="shared" si="1"/>
        <v>572078</v>
      </c>
      <c r="F40" s="171">
        <f t="shared" si="7"/>
        <v>64038763</v>
      </c>
      <c r="G40" s="171">
        <f t="shared" si="3"/>
        <v>33115.664934540386</v>
      </c>
      <c r="H40" s="171">
        <f t="shared" si="4"/>
        <v>693491.77369693317</v>
      </c>
      <c r="I40" s="145"/>
      <c r="J40" s="173"/>
      <c r="K40" s="173"/>
      <c r="L40" s="173"/>
      <c r="M40" s="172"/>
      <c r="N40" s="172"/>
      <c r="O40" s="172"/>
      <c r="P40" s="172"/>
      <c r="Q40" s="172"/>
    </row>
    <row r="41" spans="1:17" x14ac:dyDescent="0.3">
      <c r="A41" s="202">
        <v>10</v>
      </c>
      <c r="B41" s="178" t="s">
        <v>260</v>
      </c>
      <c r="C41" s="179">
        <f t="shared" si="5"/>
        <v>5175600</v>
      </c>
      <c r="D41" s="179">
        <f t="shared" si="6"/>
        <v>4562762</v>
      </c>
      <c r="E41" s="179">
        <f t="shared" si="1"/>
        <v>612838</v>
      </c>
      <c r="F41" s="179">
        <f t="shared" si="7"/>
        <v>63425925</v>
      </c>
      <c r="G41" s="179">
        <f t="shared" si="3"/>
        <v>32822.451859594934</v>
      </c>
      <c r="H41" s="179">
        <f t="shared" si="4"/>
        <v>660669.32183733827</v>
      </c>
      <c r="I41" s="147"/>
      <c r="J41" s="174"/>
      <c r="K41" s="174"/>
      <c r="L41" s="174"/>
      <c r="M41" s="175"/>
      <c r="N41" s="175"/>
      <c r="O41" s="175"/>
      <c r="P41" s="175"/>
      <c r="Q41" s="175"/>
    </row>
    <row r="42" spans="1:17" x14ac:dyDescent="0.3">
      <c r="A42" s="60">
        <v>11</v>
      </c>
      <c r="B42" s="170" t="s">
        <v>261</v>
      </c>
      <c r="C42" s="172">
        <f t="shared" si="5"/>
        <v>5175600</v>
      </c>
      <c r="D42" s="172">
        <f t="shared" si="6"/>
        <v>4519097</v>
      </c>
      <c r="E42" s="172">
        <f t="shared" si="1"/>
        <v>656503</v>
      </c>
      <c r="F42" s="172">
        <f t="shared" si="7"/>
        <v>62769422</v>
      </c>
      <c r="G42" s="172">
        <f t="shared" si="3"/>
        <v>32508.347638800871</v>
      </c>
      <c r="H42" s="172">
        <f t="shared" si="4"/>
        <v>628160.97419853741</v>
      </c>
      <c r="I42" s="145"/>
      <c r="J42" s="171">
        <f>+J30</f>
        <v>4175600</v>
      </c>
      <c r="K42" s="171">
        <f>ROUND(M30*$K$30,0)</f>
        <v>3355311</v>
      </c>
      <c r="L42" s="171">
        <f t="shared" ref="L42:L71" si="8">+J42-K42</f>
        <v>820289</v>
      </c>
      <c r="M42" s="171">
        <f>+M30-L42</f>
        <v>65555794.5</v>
      </c>
      <c r="N42" s="176">
        <f>-(+M30*N30)</f>
        <v>-22785.716810770769</v>
      </c>
      <c r="O42" s="176">
        <f>+O30-N42</f>
        <v>-462214.2831892292</v>
      </c>
      <c r="P42" s="176">
        <f>+P30*M30</f>
        <v>90634.859691792197</v>
      </c>
      <c r="Q42" s="176">
        <f>+Q30-P42</f>
        <v>1838552.9621455437</v>
      </c>
    </row>
    <row r="43" spans="1:17" x14ac:dyDescent="0.3">
      <c r="A43" s="60">
        <v>12</v>
      </c>
      <c r="B43" s="170" t="s">
        <v>262</v>
      </c>
      <c r="C43" s="172">
        <f t="shared" si="5"/>
        <v>5175600</v>
      </c>
      <c r="D43" s="172">
        <f t="shared" si="6"/>
        <v>4472321</v>
      </c>
      <c r="E43" s="172">
        <f t="shared" si="1"/>
        <v>703279</v>
      </c>
      <c r="F43" s="172">
        <f t="shared" si="7"/>
        <v>62066143</v>
      </c>
      <c r="G43" s="172">
        <f t="shared" si="3"/>
        <v>32171.863342357174</v>
      </c>
      <c r="H43" s="172">
        <f t="shared" si="4"/>
        <v>595989.1108561802</v>
      </c>
      <c r="I43" s="145"/>
      <c r="J43" s="171">
        <f t="shared" ref="J43:J70" si="9">+J42</f>
        <v>4175600</v>
      </c>
      <c r="K43" s="171">
        <f>ROUND(+M42*$K$30,0)</f>
        <v>3313845</v>
      </c>
      <c r="L43" s="171">
        <f t="shared" si="8"/>
        <v>861755</v>
      </c>
      <c r="M43" s="171">
        <f t="shared" ref="M43:M70" si="10">+M42-L43</f>
        <v>64694039.5</v>
      </c>
      <c r="N43" s="176">
        <f>-(+M42*$N$30)</f>
        <v>-22504.126336138586</v>
      </c>
      <c r="O43" s="176">
        <f t="shared" ref="O43:O70" si="11">+O42-N43</f>
        <v>-439710.15685309062</v>
      </c>
      <c r="P43" s="176">
        <f>+M42*$P$30</f>
        <v>89514.77585283354</v>
      </c>
      <c r="Q43" s="176">
        <f>+Q42-P43</f>
        <v>1749038.18629271</v>
      </c>
    </row>
    <row r="44" spans="1:17" x14ac:dyDescent="0.3">
      <c r="A44" s="60">
        <v>13</v>
      </c>
      <c r="B44" s="170" t="s">
        <v>263</v>
      </c>
      <c r="C44" s="172">
        <f t="shared" si="5"/>
        <v>5175600</v>
      </c>
      <c r="D44" s="172">
        <f t="shared" si="6"/>
        <v>4422213</v>
      </c>
      <c r="E44" s="172">
        <f t="shared" si="1"/>
        <v>753387</v>
      </c>
      <c r="F44" s="172">
        <f t="shared" si="7"/>
        <v>61312756</v>
      </c>
      <c r="G44" s="172">
        <f t="shared" si="3"/>
        <v>31811.404457144727</v>
      </c>
      <c r="H44" s="172">
        <f t="shared" si="4"/>
        <v>564177.70639903552</v>
      </c>
      <c r="I44" s="145"/>
      <c r="J44" s="171">
        <f t="shared" si="9"/>
        <v>4175600</v>
      </c>
      <c r="K44" s="171">
        <f t="shared" ref="K44:K71" si="12">ROUND(+M43*$K$30,0)</f>
        <v>3270284</v>
      </c>
      <c r="L44" s="171">
        <f t="shared" si="8"/>
        <v>905316</v>
      </c>
      <c r="M44" s="171">
        <f t="shared" si="10"/>
        <v>63788723.5</v>
      </c>
      <c r="N44" s="176">
        <f t="shared" ref="N44:N74" si="13">-(+M43*$N$30)</f>
        <v>-22208.301328773308</v>
      </c>
      <c r="O44" s="176">
        <f t="shared" si="11"/>
        <v>-417501.8555243173</v>
      </c>
      <c r="P44" s="176">
        <f t="shared" ref="P44:P74" si="14">+M43*$P$30</f>
        <v>88338.071241846657</v>
      </c>
      <c r="Q44" s="176">
        <f t="shared" ref="Q44:Q73" si="15">+Q43-P44</f>
        <v>1660700.1150508635</v>
      </c>
    </row>
    <row r="45" spans="1:17" x14ac:dyDescent="0.3">
      <c r="A45" s="60">
        <v>14</v>
      </c>
      <c r="B45" s="170" t="s">
        <v>264</v>
      </c>
      <c r="C45" s="172">
        <f t="shared" si="5"/>
        <v>5175600</v>
      </c>
      <c r="D45" s="172">
        <f t="shared" si="6"/>
        <v>4368534</v>
      </c>
      <c r="E45" s="172">
        <f t="shared" si="1"/>
        <v>807066</v>
      </c>
      <c r="F45" s="172">
        <f t="shared" si="7"/>
        <v>60505690</v>
      </c>
      <c r="G45" s="172">
        <f t="shared" si="3"/>
        <v>31425.263198620658</v>
      </c>
      <c r="H45" s="172">
        <f t="shared" si="4"/>
        <v>532752.44320041488</v>
      </c>
      <c r="I45" s="145"/>
      <c r="J45" s="171">
        <f t="shared" si="9"/>
        <v>4175600</v>
      </c>
      <c r="K45" s="171">
        <f t="shared" si="12"/>
        <v>3224520</v>
      </c>
      <c r="L45" s="171">
        <f t="shared" si="8"/>
        <v>951080</v>
      </c>
      <c r="M45" s="171">
        <f t="shared" si="10"/>
        <v>62837643.5</v>
      </c>
      <c r="N45" s="176">
        <f t="shared" si="13"/>
        <v>-21897.522612818189</v>
      </c>
      <c r="O45" s="176">
        <f t="shared" si="11"/>
        <v>-395604.33291149914</v>
      </c>
      <c r="P45" s="176">
        <f t="shared" si="14"/>
        <v>87101.885189430133</v>
      </c>
      <c r="Q45" s="176">
        <f t="shared" si="15"/>
        <v>1573598.2298614334</v>
      </c>
    </row>
    <row r="46" spans="1:17" x14ac:dyDescent="0.3">
      <c r="A46" s="60">
        <v>15</v>
      </c>
      <c r="B46" s="170" t="s">
        <v>265</v>
      </c>
      <c r="C46" s="172">
        <f t="shared" si="5"/>
        <v>5175600</v>
      </c>
      <c r="D46" s="172">
        <f t="shared" si="6"/>
        <v>4311030</v>
      </c>
      <c r="E46" s="172">
        <f t="shared" si="1"/>
        <v>864570</v>
      </c>
      <c r="F46" s="172">
        <f t="shared" si="7"/>
        <v>59641120</v>
      </c>
      <c r="G46" s="172">
        <f t="shared" si="3"/>
        <v>31011.609285091505</v>
      </c>
      <c r="H46" s="172">
        <f t="shared" si="4"/>
        <v>501740.83391532337</v>
      </c>
      <c r="I46" s="145"/>
      <c r="J46" s="171">
        <f t="shared" si="9"/>
        <v>4175600</v>
      </c>
      <c r="K46" s="171">
        <f t="shared" si="12"/>
        <v>3176443</v>
      </c>
      <c r="L46" s="171">
        <f t="shared" si="8"/>
        <v>999157</v>
      </c>
      <c r="M46" s="171">
        <f t="shared" si="10"/>
        <v>61838486.5</v>
      </c>
      <c r="N46" s="176">
        <f t="shared" si="13"/>
        <v>-21571.033937957043</v>
      </c>
      <c r="O46" s="176">
        <f t="shared" si="11"/>
        <v>-374033.29897354211</v>
      </c>
      <c r="P46" s="176">
        <f t="shared" si="14"/>
        <v>85803.209554919857</v>
      </c>
      <c r="Q46" s="176">
        <f t="shared" si="15"/>
        <v>1487795.0203065136</v>
      </c>
    </row>
    <row r="47" spans="1:17" x14ac:dyDescent="0.3">
      <c r="A47" s="60">
        <v>16</v>
      </c>
      <c r="B47" s="170" t="s">
        <v>266</v>
      </c>
      <c r="C47" s="172">
        <f t="shared" si="5"/>
        <v>5175600</v>
      </c>
      <c r="D47" s="172">
        <f t="shared" si="6"/>
        <v>4249430</v>
      </c>
      <c r="E47" s="172">
        <f t="shared" si="1"/>
        <v>926170</v>
      </c>
      <c r="F47" s="172">
        <f t="shared" si="7"/>
        <v>58714950</v>
      </c>
      <c r="G47" s="172">
        <f t="shared" si="3"/>
        <v>30568.482249607547</v>
      </c>
      <c r="H47" s="172">
        <f t="shared" si="4"/>
        <v>471172.3516657158</v>
      </c>
      <c r="I47" s="145"/>
      <c r="J47" s="171">
        <f t="shared" si="9"/>
        <v>4175600</v>
      </c>
      <c r="K47" s="171">
        <f t="shared" si="12"/>
        <v>3125935</v>
      </c>
      <c r="L47" s="171">
        <f t="shared" si="8"/>
        <v>1049665</v>
      </c>
      <c r="M47" s="171">
        <f t="shared" si="10"/>
        <v>60788821.5</v>
      </c>
      <c r="N47" s="176">
        <f t="shared" si="13"/>
        <v>-21228.041292850176</v>
      </c>
      <c r="O47" s="176">
        <f t="shared" si="11"/>
        <v>-352805.25768069195</v>
      </c>
      <c r="P47" s="176">
        <f t="shared" si="14"/>
        <v>84438.885995439705</v>
      </c>
      <c r="Q47" s="176">
        <f t="shared" si="15"/>
        <v>1403356.1343110739</v>
      </c>
    </row>
    <row r="48" spans="1:17" x14ac:dyDescent="0.3">
      <c r="A48" s="60">
        <v>17</v>
      </c>
      <c r="B48" s="170" t="s">
        <v>267</v>
      </c>
      <c r="C48" s="172">
        <f t="shared" si="5"/>
        <v>5175600</v>
      </c>
      <c r="D48" s="172">
        <f t="shared" si="6"/>
        <v>4183440</v>
      </c>
      <c r="E48" s="172">
        <f t="shared" ref="E48:E71" si="16">+C48-D48</f>
        <v>992160</v>
      </c>
      <c r="F48" s="172">
        <f t="shared" ref="F48:F71" si="17">+F47-E48</f>
        <v>57722790</v>
      </c>
      <c r="G48" s="172">
        <f t="shared" si="3"/>
        <v>30093.782726776335</v>
      </c>
      <c r="H48" s="172">
        <f t="shared" si="4"/>
        <v>441078.56893893948</v>
      </c>
      <c r="I48" s="145"/>
      <c r="J48" s="171">
        <f t="shared" si="9"/>
        <v>4175600</v>
      </c>
      <c r="K48" s="171">
        <f t="shared" si="12"/>
        <v>3072875</v>
      </c>
      <c r="L48" s="171">
        <f t="shared" si="8"/>
        <v>1102725</v>
      </c>
      <c r="M48" s="171">
        <f t="shared" si="10"/>
        <v>59686096.5</v>
      </c>
      <c r="N48" s="176">
        <f t="shared" si="13"/>
        <v>-20867.710158878137</v>
      </c>
      <c r="O48" s="176">
        <f t="shared" si="11"/>
        <v>-331937.54752181383</v>
      </c>
      <c r="P48" s="176">
        <f t="shared" si="14"/>
        <v>83005.595042104309</v>
      </c>
      <c r="Q48" s="176">
        <f t="shared" si="15"/>
        <v>1320350.5392689696</v>
      </c>
    </row>
    <row r="49" spans="1:17" x14ac:dyDescent="0.3">
      <c r="A49" s="60">
        <v>18</v>
      </c>
      <c r="B49" s="170" t="s">
        <v>268</v>
      </c>
      <c r="C49" s="172">
        <f t="shared" si="5"/>
        <v>5175600</v>
      </c>
      <c r="D49" s="172">
        <f t="shared" si="6"/>
        <v>4112749</v>
      </c>
      <c r="E49" s="172">
        <f t="shared" si="16"/>
        <v>1062851</v>
      </c>
      <c r="F49" s="172">
        <f t="shared" si="17"/>
        <v>56659939</v>
      </c>
      <c r="G49" s="172">
        <f t="shared" si="3"/>
        <v>29585.260664334</v>
      </c>
      <c r="H49" s="172">
        <f t="shared" si="4"/>
        <v>411493.30827460549</v>
      </c>
      <c r="I49" s="145"/>
      <c r="J49" s="171">
        <f t="shared" si="9"/>
        <v>4175600</v>
      </c>
      <c r="K49" s="171">
        <f t="shared" si="12"/>
        <v>3017132</v>
      </c>
      <c r="L49" s="171">
        <f t="shared" si="8"/>
        <v>1158468</v>
      </c>
      <c r="M49" s="171">
        <f t="shared" si="10"/>
        <v>58527628.5</v>
      </c>
      <c r="N49" s="176">
        <f t="shared" si="13"/>
        <v>-20489.164480295622</v>
      </c>
      <c r="O49" s="176">
        <f t="shared" si="11"/>
        <v>-311448.38304151822</v>
      </c>
      <c r="P49" s="176">
        <f t="shared" si="14"/>
        <v>81499.852003595079</v>
      </c>
      <c r="Q49" s="176">
        <f t="shared" si="15"/>
        <v>1238850.6872653745</v>
      </c>
    </row>
    <row r="50" spans="1:17" x14ac:dyDescent="0.3">
      <c r="A50" s="60">
        <v>19</v>
      </c>
      <c r="B50" s="170" t="s">
        <v>269</v>
      </c>
      <c r="C50" s="172">
        <f t="shared" si="5"/>
        <v>5175600</v>
      </c>
      <c r="D50" s="172">
        <f t="shared" si="6"/>
        <v>4037021</v>
      </c>
      <c r="E50" s="172">
        <f t="shared" si="16"/>
        <v>1138579</v>
      </c>
      <c r="F50" s="172">
        <f t="shared" si="17"/>
        <v>55521360</v>
      </c>
      <c r="G50" s="172">
        <f t="shared" si="3"/>
        <v>29040.506609958804</v>
      </c>
      <c r="H50" s="172">
        <f t="shared" si="4"/>
        <v>382452.80166464666</v>
      </c>
      <c r="I50" s="145"/>
      <c r="J50" s="171">
        <f t="shared" si="9"/>
        <v>4175600</v>
      </c>
      <c r="K50" s="171">
        <f t="shared" si="12"/>
        <v>2958572</v>
      </c>
      <c r="L50" s="171">
        <f t="shared" si="8"/>
        <v>1217028</v>
      </c>
      <c r="M50" s="171">
        <f t="shared" si="10"/>
        <v>57310600.5</v>
      </c>
      <c r="N50" s="176">
        <f t="shared" si="13"/>
        <v>-20091.483231411152</v>
      </c>
      <c r="O50" s="176">
        <f t="shared" si="11"/>
        <v>-291356.89981010708</v>
      </c>
      <c r="P50" s="176">
        <f t="shared" si="14"/>
        <v>79917.993311413724</v>
      </c>
      <c r="Q50" s="176">
        <f t="shared" si="15"/>
        <v>1158932.6939539607</v>
      </c>
    </row>
    <row r="51" spans="1:17" x14ac:dyDescent="0.3">
      <c r="A51" s="60">
        <v>20</v>
      </c>
      <c r="B51" s="170" t="s">
        <v>270</v>
      </c>
      <c r="C51" s="172">
        <f t="shared" si="5"/>
        <v>5175600</v>
      </c>
      <c r="D51" s="172">
        <f t="shared" si="6"/>
        <v>3955897</v>
      </c>
      <c r="E51" s="172">
        <f t="shared" si="16"/>
        <v>1219703</v>
      </c>
      <c r="F51" s="172">
        <f t="shared" si="17"/>
        <v>54301657</v>
      </c>
      <c r="G51" s="172">
        <f t="shared" si="3"/>
        <v>28456.938897761651</v>
      </c>
      <c r="H51" s="172">
        <f t="shared" si="4"/>
        <v>353995.86276688502</v>
      </c>
      <c r="I51" s="145"/>
      <c r="J51" s="171">
        <f t="shared" si="9"/>
        <v>4175600</v>
      </c>
      <c r="K51" s="171">
        <f t="shared" si="12"/>
        <v>2897051</v>
      </c>
      <c r="L51" s="171">
        <f t="shared" si="8"/>
        <v>1278549</v>
      </c>
      <c r="M51" s="171">
        <f t="shared" si="10"/>
        <v>56032051.5</v>
      </c>
      <c r="N51" s="176">
        <f t="shared" si="13"/>
        <v>-19673.699386740973</v>
      </c>
      <c r="O51" s="176">
        <f t="shared" si="11"/>
        <v>-271683.2004233661</v>
      </c>
      <c r="P51" s="176">
        <f t="shared" si="14"/>
        <v>78256.172423458163</v>
      </c>
      <c r="Q51" s="176">
        <f t="shared" si="15"/>
        <v>1080676.5215305025</v>
      </c>
    </row>
    <row r="52" spans="1:17" x14ac:dyDescent="0.3">
      <c r="A52" s="60">
        <v>21</v>
      </c>
      <c r="B52" s="170" t="s">
        <v>271</v>
      </c>
      <c r="C52" s="172">
        <f t="shared" si="5"/>
        <v>5175600</v>
      </c>
      <c r="D52" s="172">
        <f t="shared" si="6"/>
        <v>3868993</v>
      </c>
      <c r="E52" s="172">
        <f t="shared" si="16"/>
        <v>1306607</v>
      </c>
      <c r="F52" s="172">
        <f t="shared" si="17"/>
        <v>52995050</v>
      </c>
      <c r="G52" s="172">
        <f t="shared" si="3"/>
        <v>27831.791859857381</v>
      </c>
      <c r="H52" s="172">
        <f t="shared" si="4"/>
        <v>326164.07090702764</v>
      </c>
      <c r="I52" s="145"/>
      <c r="J52" s="171">
        <f t="shared" si="9"/>
        <v>4175600</v>
      </c>
      <c r="K52" s="171">
        <f t="shared" si="12"/>
        <v>2832420</v>
      </c>
      <c r="L52" s="171">
        <f t="shared" si="8"/>
        <v>1343180</v>
      </c>
      <c r="M52" s="171">
        <f t="shared" si="10"/>
        <v>54688871.5</v>
      </c>
      <c r="N52" s="176">
        <f t="shared" si="13"/>
        <v>-19234.796488188753</v>
      </c>
      <c r="O52" s="176">
        <f t="shared" si="11"/>
        <v>-252448.40393517734</v>
      </c>
      <c r="P52" s="176">
        <f t="shared" si="14"/>
        <v>76510.34616927609</v>
      </c>
      <c r="Q52" s="176">
        <f t="shared" si="15"/>
        <v>1004166.1753612264</v>
      </c>
    </row>
    <row r="53" spans="1:17" x14ac:dyDescent="0.3">
      <c r="A53" s="60">
        <v>22</v>
      </c>
      <c r="B53" s="170" t="s">
        <v>272</v>
      </c>
      <c r="C53" s="172">
        <f t="shared" si="5"/>
        <v>5175600</v>
      </c>
      <c r="D53" s="172">
        <f t="shared" si="6"/>
        <v>3775897</v>
      </c>
      <c r="E53" s="172">
        <f t="shared" si="16"/>
        <v>1399703</v>
      </c>
      <c r="F53" s="172">
        <f t="shared" si="17"/>
        <v>51595347</v>
      </c>
      <c r="G53" s="172">
        <f t="shared" si="3"/>
        <v>27162.103012855296</v>
      </c>
      <c r="H53" s="172">
        <f t="shared" si="4"/>
        <v>299001.96789417235</v>
      </c>
      <c r="I53" s="145"/>
      <c r="J53" s="171">
        <f t="shared" si="9"/>
        <v>4175600</v>
      </c>
      <c r="K53" s="171">
        <f t="shared" si="12"/>
        <v>2764522</v>
      </c>
      <c r="L53" s="171">
        <f t="shared" si="8"/>
        <v>1411078</v>
      </c>
      <c r="M53" s="171">
        <f t="shared" si="10"/>
        <v>53277793.5</v>
      </c>
      <c r="N53" s="176">
        <f t="shared" si="13"/>
        <v>-18773.706928635409</v>
      </c>
      <c r="O53" s="176">
        <f t="shared" si="11"/>
        <v>-233674.69700654194</v>
      </c>
      <c r="P53" s="176">
        <f t="shared" si="14"/>
        <v>74676.267922691666</v>
      </c>
      <c r="Q53" s="176">
        <f t="shared" si="15"/>
        <v>929489.90743853478</v>
      </c>
    </row>
    <row r="54" spans="1:17" x14ac:dyDescent="0.3">
      <c r="A54" s="60">
        <v>23</v>
      </c>
      <c r="B54" s="170" t="s">
        <v>273</v>
      </c>
      <c r="C54" s="172">
        <f t="shared" si="5"/>
        <v>5175600</v>
      </c>
      <c r="D54" s="172">
        <f t="shared" si="6"/>
        <v>3676168</v>
      </c>
      <c r="E54" s="172">
        <f t="shared" si="16"/>
        <v>1499432</v>
      </c>
      <c r="F54" s="172">
        <f t="shared" si="17"/>
        <v>50095915</v>
      </c>
      <c r="G54" s="172">
        <f t="shared" si="3"/>
        <v>26444.698706728544</v>
      </c>
      <c r="H54" s="172">
        <f t="shared" si="4"/>
        <v>272557.26918744383</v>
      </c>
      <c r="I54" s="145"/>
      <c r="J54" s="171">
        <f t="shared" si="9"/>
        <v>4175600</v>
      </c>
      <c r="K54" s="171">
        <f t="shared" si="12"/>
        <v>2693192</v>
      </c>
      <c r="L54" s="171">
        <f t="shared" si="8"/>
        <v>1482408</v>
      </c>
      <c r="M54" s="171">
        <f t="shared" si="10"/>
        <v>51795385.5</v>
      </c>
      <c r="N54" s="176">
        <f t="shared" si="13"/>
        <v>-18289.30920568285</v>
      </c>
      <c r="O54" s="176">
        <f t="shared" si="11"/>
        <v>-215385.38780085908</v>
      </c>
      <c r="P54" s="176">
        <f t="shared" si="14"/>
        <v>72749.476678008257</v>
      </c>
      <c r="Q54" s="176">
        <f t="shared" si="15"/>
        <v>856740.43076052656</v>
      </c>
    </row>
    <row r="55" spans="1:17" x14ac:dyDescent="0.3">
      <c r="A55" s="60">
        <v>24</v>
      </c>
      <c r="B55" s="170" t="s">
        <v>274</v>
      </c>
      <c r="C55" s="172">
        <f t="shared" si="5"/>
        <v>5175600</v>
      </c>
      <c r="D55" s="172">
        <f t="shared" si="6"/>
        <v>3569334</v>
      </c>
      <c r="E55" s="172">
        <f t="shared" si="16"/>
        <v>1606266</v>
      </c>
      <c r="F55" s="172">
        <f t="shared" si="17"/>
        <v>48489649</v>
      </c>
      <c r="G55" s="172">
        <f t="shared" si="3"/>
        <v>25676.179261143123</v>
      </c>
      <c r="H55" s="172">
        <f t="shared" si="4"/>
        <v>246881.08992630072</v>
      </c>
      <c r="I55" s="145"/>
      <c r="J55" s="171">
        <f t="shared" si="9"/>
        <v>4175600</v>
      </c>
      <c r="K55" s="171">
        <f t="shared" si="12"/>
        <v>2618257</v>
      </c>
      <c r="L55" s="171">
        <f t="shared" si="8"/>
        <v>1557343</v>
      </c>
      <c r="M55" s="171">
        <f t="shared" si="10"/>
        <v>50238042.5</v>
      </c>
      <c r="N55" s="176">
        <f t="shared" si="13"/>
        <v>-17780.425175397741</v>
      </c>
      <c r="O55" s="176">
        <f t="shared" si="11"/>
        <v>-197604.96262546134</v>
      </c>
      <c r="P55" s="176">
        <f t="shared" si="14"/>
        <v>70725.286126211227</v>
      </c>
      <c r="Q55" s="176">
        <f t="shared" si="15"/>
        <v>786015.14463431528</v>
      </c>
    </row>
    <row r="56" spans="1:17" x14ac:dyDescent="0.3">
      <c r="A56" s="60">
        <v>25</v>
      </c>
      <c r="B56" s="170" t="s">
        <v>275</v>
      </c>
      <c r="C56" s="172">
        <f t="shared" si="5"/>
        <v>5175600</v>
      </c>
      <c r="D56" s="172">
        <f t="shared" si="6"/>
        <v>3454887</v>
      </c>
      <c r="E56" s="172">
        <f t="shared" si="16"/>
        <v>1720713</v>
      </c>
      <c r="F56" s="172">
        <f t="shared" si="17"/>
        <v>46768936</v>
      </c>
      <c r="G56" s="172">
        <f t="shared" si="3"/>
        <v>24852.903076706141</v>
      </c>
      <c r="H56" s="172">
        <f t="shared" si="4"/>
        <v>222028.18684959458</v>
      </c>
      <c r="I56" s="145"/>
      <c r="J56" s="171">
        <f t="shared" si="9"/>
        <v>4175600</v>
      </c>
      <c r="K56" s="171">
        <f t="shared" si="12"/>
        <v>2539533</v>
      </c>
      <c r="L56" s="171">
        <f t="shared" si="8"/>
        <v>1636067</v>
      </c>
      <c r="M56" s="171">
        <f t="shared" si="10"/>
        <v>48601975.5</v>
      </c>
      <c r="N56" s="176">
        <f t="shared" si="13"/>
        <v>-17245.817306055218</v>
      </c>
      <c r="O56" s="176">
        <f t="shared" si="11"/>
        <v>-180359.14531940612</v>
      </c>
      <c r="P56" s="176">
        <f t="shared" si="14"/>
        <v>68598.773731170717</v>
      </c>
      <c r="Q56" s="176">
        <f t="shared" si="15"/>
        <v>717416.37090314459</v>
      </c>
    </row>
    <row r="57" spans="1:17" x14ac:dyDescent="0.3">
      <c r="A57" s="60">
        <v>26</v>
      </c>
      <c r="B57" s="170" t="s">
        <v>276</v>
      </c>
      <c r="C57" s="172">
        <f t="shared" si="5"/>
        <v>5175600</v>
      </c>
      <c r="D57" s="172">
        <f t="shared" si="6"/>
        <v>3332287</v>
      </c>
      <c r="E57" s="172">
        <f t="shared" si="16"/>
        <v>1843313</v>
      </c>
      <c r="F57" s="172">
        <f t="shared" si="17"/>
        <v>44925623</v>
      </c>
      <c r="G57" s="172">
        <f t="shared" si="3"/>
        <v>23970.96818351217</v>
      </c>
      <c r="H57" s="172">
        <f t="shared" si="4"/>
        <v>198057.21866608242</v>
      </c>
      <c r="I57" s="145"/>
      <c r="J57" s="171">
        <f t="shared" si="9"/>
        <v>4175600</v>
      </c>
      <c r="K57" s="171">
        <f t="shared" si="12"/>
        <v>2456830</v>
      </c>
      <c r="L57" s="171">
        <f t="shared" si="8"/>
        <v>1718770</v>
      </c>
      <c r="M57" s="171">
        <f t="shared" si="10"/>
        <v>46883205.5</v>
      </c>
      <c r="N57" s="176">
        <f t="shared" si="13"/>
        <v>-16684.184902036573</v>
      </c>
      <c r="O57" s="176">
        <f t="shared" si="11"/>
        <v>-163674.96041736956</v>
      </c>
      <c r="P57" s="176">
        <f t="shared" si="14"/>
        <v>66364.765709420361</v>
      </c>
      <c r="Q57" s="176">
        <f t="shared" si="15"/>
        <v>651051.60519372427</v>
      </c>
    </row>
    <row r="58" spans="1:17" x14ac:dyDescent="0.3">
      <c r="A58" s="60">
        <v>27</v>
      </c>
      <c r="B58" s="170" t="s">
        <v>277</v>
      </c>
      <c r="C58" s="172">
        <f t="shared" si="5"/>
        <v>5175600</v>
      </c>
      <c r="D58" s="172">
        <f t="shared" si="6"/>
        <v>3200951</v>
      </c>
      <c r="E58" s="172">
        <f t="shared" si="16"/>
        <v>1974649</v>
      </c>
      <c r="F58" s="172">
        <f t="shared" si="17"/>
        <v>42950974</v>
      </c>
      <c r="G58" s="172">
        <f t="shared" si="3"/>
        <v>23026.195839851105</v>
      </c>
      <c r="H58" s="172">
        <f t="shared" si="4"/>
        <v>175031.02282623132</v>
      </c>
      <c r="I58" s="145"/>
      <c r="J58" s="171">
        <f t="shared" si="9"/>
        <v>4175600</v>
      </c>
      <c r="K58" s="171">
        <f t="shared" si="12"/>
        <v>2369946</v>
      </c>
      <c r="L58" s="171">
        <f t="shared" si="8"/>
        <v>1805654</v>
      </c>
      <c r="M58" s="171">
        <f t="shared" si="10"/>
        <v>45077551.5</v>
      </c>
      <c r="N58" s="176">
        <f t="shared" si="13"/>
        <v>-16094.162044137036</v>
      </c>
      <c r="O58" s="176">
        <f t="shared" si="11"/>
        <v>-147580.79837323251</v>
      </c>
      <c r="P58" s="176">
        <f t="shared" si="14"/>
        <v>64017.828837309455</v>
      </c>
      <c r="Q58" s="176">
        <f t="shared" si="15"/>
        <v>587033.77635641478</v>
      </c>
    </row>
    <row r="59" spans="1:17" x14ac:dyDescent="0.3">
      <c r="A59" s="60">
        <v>28</v>
      </c>
      <c r="B59" s="170" t="s">
        <v>278</v>
      </c>
      <c r="C59" s="172">
        <f t="shared" si="5"/>
        <v>5175600</v>
      </c>
      <c r="D59" s="172">
        <f t="shared" si="6"/>
        <v>3060257</v>
      </c>
      <c r="E59" s="172">
        <f t="shared" si="16"/>
        <v>2115343</v>
      </c>
      <c r="F59" s="172">
        <f t="shared" si="17"/>
        <v>40835631</v>
      </c>
      <c r="G59" s="172">
        <f t="shared" si="3"/>
        <v>22014.108492971882</v>
      </c>
      <c r="H59" s="172">
        <f t="shared" si="4"/>
        <v>153016.91433325942</v>
      </c>
      <c r="I59" s="145"/>
      <c r="J59" s="171">
        <f t="shared" si="9"/>
        <v>4175600</v>
      </c>
      <c r="K59" s="171">
        <f t="shared" si="12"/>
        <v>2278670</v>
      </c>
      <c r="L59" s="171">
        <f t="shared" si="8"/>
        <v>1896930</v>
      </c>
      <c r="M59" s="171">
        <f t="shared" si="10"/>
        <v>43180621.5</v>
      </c>
      <c r="N59" s="176">
        <f t="shared" si="13"/>
        <v>-15474.313470181396</v>
      </c>
      <c r="O59" s="176">
        <f t="shared" si="11"/>
        <v>-132106.48490305111</v>
      </c>
      <c r="P59" s="176">
        <f t="shared" si="14"/>
        <v>61552.254065307083</v>
      </c>
      <c r="Q59" s="176">
        <f t="shared" si="15"/>
        <v>525481.52229110769</v>
      </c>
    </row>
    <row r="60" spans="1:17" x14ac:dyDescent="0.3">
      <c r="A60" s="60">
        <v>29</v>
      </c>
      <c r="B60" s="170" t="s">
        <v>279</v>
      </c>
      <c r="C60" s="172">
        <f t="shared" si="5"/>
        <v>5175600</v>
      </c>
      <c r="D60" s="172">
        <f t="shared" si="6"/>
        <v>2909539</v>
      </c>
      <c r="E60" s="172">
        <f t="shared" si="16"/>
        <v>2266061</v>
      </c>
      <c r="F60" s="172">
        <f t="shared" si="17"/>
        <v>38569570</v>
      </c>
      <c r="G60" s="172">
        <f t="shared" si="3"/>
        <v>20929.909790007692</v>
      </c>
      <c r="H60" s="172">
        <f t="shared" si="4"/>
        <v>132087.00454325174</v>
      </c>
      <c r="I60" s="145"/>
      <c r="J60" s="171">
        <f t="shared" si="9"/>
        <v>4175600</v>
      </c>
      <c r="K60" s="171">
        <f t="shared" si="12"/>
        <v>2182780</v>
      </c>
      <c r="L60" s="171">
        <f t="shared" si="8"/>
        <v>1992820</v>
      </c>
      <c r="M60" s="171">
        <f t="shared" si="10"/>
        <v>41187801.5</v>
      </c>
      <c r="N60" s="176">
        <f t="shared" si="13"/>
        <v>-14823.131485485726</v>
      </c>
      <c r="O60" s="176">
        <f t="shared" si="11"/>
        <v>-117283.35341756538</v>
      </c>
      <c r="P60" s="176">
        <f t="shared" si="14"/>
        <v>58962.044228730156</v>
      </c>
      <c r="Q60" s="176">
        <f t="shared" si="15"/>
        <v>466519.47806237754</v>
      </c>
    </row>
    <row r="61" spans="1:17" x14ac:dyDescent="0.3">
      <c r="A61" s="60">
        <v>30</v>
      </c>
      <c r="B61" s="170" t="s">
        <v>280</v>
      </c>
      <c r="C61" s="172">
        <f t="shared" si="5"/>
        <v>5175600</v>
      </c>
      <c r="D61" s="172">
        <f t="shared" si="6"/>
        <v>2748082</v>
      </c>
      <c r="E61" s="172">
        <f t="shared" si="16"/>
        <v>2427518</v>
      </c>
      <c r="F61" s="172">
        <f t="shared" si="17"/>
        <v>36142052</v>
      </c>
      <c r="G61" s="172">
        <f t="shared" si="3"/>
        <v>19768.4620261993</v>
      </c>
      <c r="H61" s="172">
        <f t="shared" si="4"/>
        <v>112318.54251705244</v>
      </c>
      <c r="I61" s="145"/>
      <c r="J61" s="171">
        <f t="shared" si="9"/>
        <v>4175600</v>
      </c>
      <c r="K61" s="171">
        <f t="shared" si="12"/>
        <v>2082043</v>
      </c>
      <c r="L61" s="171">
        <f t="shared" si="8"/>
        <v>2093557</v>
      </c>
      <c r="M61" s="171">
        <f t="shared" si="10"/>
        <v>39094244.5</v>
      </c>
      <c r="N61" s="176">
        <f t="shared" si="13"/>
        <v>-14139.03218675503</v>
      </c>
      <c r="O61" s="176">
        <f t="shared" si="11"/>
        <v>-103144.32123081034</v>
      </c>
      <c r="P61" s="176">
        <f t="shared" si="14"/>
        <v>56240.89902752229</v>
      </c>
      <c r="Q61" s="176">
        <f t="shared" si="15"/>
        <v>410278.57903485524</v>
      </c>
    </row>
    <row r="62" spans="1:17" x14ac:dyDescent="0.3">
      <c r="A62" s="60">
        <v>31</v>
      </c>
      <c r="B62" s="170" t="s">
        <v>281</v>
      </c>
      <c r="C62" s="172">
        <f t="shared" si="5"/>
        <v>5175600</v>
      </c>
      <c r="D62" s="172">
        <f t="shared" si="6"/>
        <v>2575121</v>
      </c>
      <c r="E62" s="172">
        <f t="shared" si="16"/>
        <v>2600479</v>
      </c>
      <c r="F62" s="172">
        <f t="shared" si="17"/>
        <v>33541573</v>
      </c>
      <c r="G62" s="172">
        <f t="shared" si="3"/>
        <v>18524.261030416477</v>
      </c>
      <c r="H62" s="172">
        <f t="shared" si="4"/>
        <v>93794.281486635969</v>
      </c>
      <c r="I62" s="145"/>
      <c r="J62" s="171">
        <f t="shared" si="9"/>
        <v>4175600</v>
      </c>
      <c r="K62" s="171">
        <f t="shared" si="12"/>
        <v>1976214</v>
      </c>
      <c r="L62" s="171">
        <f t="shared" si="8"/>
        <v>2199386</v>
      </c>
      <c r="M62" s="171">
        <f t="shared" si="10"/>
        <v>36894858.5</v>
      </c>
      <c r="N62" s="176">
        <f t="shared" si="13"/>
        <v>-13420.351685980879</v>
      </c>
      <c r="O62" s="176">
        <f t="shared" si="11"/>
        <v>-89723.969544829466</v>
      </c>
      <c r="P62" s="176">
        <f t="shared" si="14"/>
        <v>53382.200006032581</v>
      </c>
      <c r="Q62" s="176">
        <f t="shared" si="15"/>
        <v>356896.37902882264</v>
      </c>
    </row>
    <row r="63" spans="1:17" x14ac:dyDescent="0.3">
      <c r="A63" s="60">
        <v>32</v>
      </c>
      <c r="B63" s="170" t="s">
        <v>282</v>
      </c>
      <c r="C63" s="172">
        <f t="shared" si="5"/>
        <v>5175600</v>
      </c>
      <c r="D63" s="172">
        <f t="shared" si="6"/>
        <v>2389837</v>
      </c>
      <c r="E63" s="172">
        <f t="shared" si="16"/>
        <v>2785763</v>
      </c>
      <c r="F63" s="172">
        <f t="shared" si="17"/>
        <v>30755810</v>
      </c>
      <c r="G63" s="172">
        <f t="shared" si="3"/>
        <v>17191.410538139051</v>
      </c>
      <c r="H63" s="172">
        <f t="shared" si="4"/>
        <v>76602.870948496915</v>
      </c>
      <c r="I63" s="145"/>
      <c r="J63" s="171">
        <f t="shared" si="9"/>
        <v>4175600</v>
      </c>
      <c r="K63" s="171">
        <f t="shared" si="12"/>
        <v>1865035</v>
      </c>
      <c r="L63" s="171">
        <f t="shared" si="8"/>
        <v>2310565</v>
      </c>
      <c r="M63" s="171">
        <f t="shared" si="10"/>
        <v>34584293.5</v>
      </c>
      <c r="N63" s="176">
        <f t="shared" si="13"/>
        <v>-12665.341991057046</v>
      </c>
      <c r="O63" s="176">
        <f t="shared" si="11"/>
        <v>-77058.627553772414</v>
      </c>
      <c r="P63" s="176">
        <f t="shared" si="14"/>
        <v>50378.994167319725</v>
      </c>
      <c r="Q63" s="176">
        <f t="shared" si="15"/>
        <v>306517.38486150291</v>
      </c>
    </row>
    <row r="64" spans="1:17" x14ac:dyDescent="0.3">
      <c r="A64" s="60">
        <v>33</v>
      </c>
      <c r="B64" s="170" t="s">
        <v>283</v>
      </c>
      <c r="C64" s="172">
        <f t="shared" si="5"/>
        <v>5175600</v>
      </c>
      <c r="D64" s="172">
        <f t="shared" si="6"/>
        <v>2191351</v>
      </c>
      <c r="E64" s="172">
        <f t="shared" si="16"/>
        <v>2984249</v>
      </c>
      <c r="F64" s="172">
        <f t="shared" si="17"/>
        <v>27771561</v>
      </c>
      <c r="G64" s="172">
        <f t="shared" si="3"/>
        <v>15763.594514276429</v>
      </c>
      <c r="H64" s="172">
        <f t="shared" si="4"/>
        <v>60839.27643422049</v>
      </c>
      <c r="I64" s="145"/>
      <c r="J64" s="171">
        <f t="shared" si="9"/>
        <v>4175600</v>
      </c>
      <c r="K64" s="171">
        <f t="shared" si="12"/>
        <v>1748236</v>
      </c>
      <c r="L64" s="171">
        <f t="shared" si="8"/>
        <v>2427364</v>
      </c>
      <c r="M64" s="171">
        <f t="shared" si="10"/>
        <v>32156929.5</v>
      </c>
      <c r="N64" s="176">
        <f t="shared" si="13"/>
        <v>-11872.16654311308</v>
      </c>
      <c r="O64" s="176">
        <f t="shared" si="11"/>
        <v>-65186.461010659332</v>
      </c>
      <c r="P64" s="176">
        <f t="shared" si="14"/>
        <v>47223.976221981538</v>
      </c>
      <c r="Q64" s="176">
        <f t="shared" si="15"/>
        <v>259293.40863952137</v>
      </c>
    </row>
    <row r="65" spans="1:19" x14ac:dyDescent="0.3">
      <c r="A65" s="60">
        <v>34</v>
      </c>
      <c r="B65" s="170" t="s">
        <v>284</v>
      </c>
      <c r="C65" s="172">
        <f t="shared" si="5"/>
        <v>5175600</v>
      </c>
      <c r="D65" s="172">
        <f t="shared" si="6"/>
        <v>1978724</v>
      </c>
      <c r="E65" s="172">
        <f t="shared" si="16"/>
        <v>3196876</v>
      </c>
      <c r="F65" s="172">
        <f t="shared" si="17"/>
        <v>24574685</v>
      </c>
      <c r="G65" s="172">
        <f t="shared" si="3"/>
        <v>14234.046400744875</v>
      </c>
      <c r="H65" s="172">
        <f t="shared" si="4"/>
        <v>46605.230033475615</v>
      </c>
      <c r="I65" s="145"/>
      <c r="J65" s="171">
        <f t="shared" si="9"/>
        <v>4175600</v>
      </c>
      <c r="K65" s="171">
        <f t="shared" si="12"/>
        <v>1625533</v>
      </c>
      <c r="L65" s="171">
        <f t="shared" si="8"/>
        <v>2550067</v>
      </c>
      <c r="M65" s="171">
        <f t="shared" si="10"/>
        <v>29606862.5</v>
      </c>
      <c r="N65" s="176">
        <f t="shared" si="13"/>
        <v>-11038.896097129931</v>
      </c>
      <c r="O65" s="176">
        <f t="shared" si="11"/>
        <v>-54147.564913529401</v>
      </c>
      <c r="P65" s="176">
        <f t="shared" si="14"/>
        <v>43909.472202459096</v>
      </c>
      <c r="Q65" s="176">
        <f t="shared" si="15"/>
        <v>215383.93643706228</v>
      </c>
    </row>
    <row r="66" spans="1:19" x14ac:dyDescent="0.3">
      <c r="A66" s="60">
        <v>35</v>
      </c>
      <c r="B66" s="170" t="s">
        <v>285</v>
      </c>
      <c r="C66" s="172">
        <f t="shared" si="5"/>
        <v>5175600</v>
      </c>
      <c r="D66" s="172">
        <f t="shared" si="6"/>
        <v>1750946</v>
      </c>
      <c r="E66" s="172">
        <f t="shared" si="16"/>
        <v>3424654</v>
      </c>
      <c r="F66" s="172">
        <f t="shared" si="17"/>
        <v>21150031</v>
      </c>
      <c r="G66" s="172">
        <f t="shared" si="3"/>
        <v>12595.518364044752</v>
      </c>
      <c r="H66" s="172">
        <f t="shared" si="4"/>
        <v>34009.711669430864</v>
      </c>
      <c r="I66" s="145"/>
      <c r="J66" s="171">
        <f t="shared" si="9"/>
        <v>4175600</v>
      </c>
      <c r="K66" s="171">
        <f t="shared" si="12"/>
        <v>1496627</v>
      </c>
      <c r="L66" s="171">
        <f t="shared" si="8"/>
        <v>2678973</v>
      </c>
      <c r="M66" s="171">
        <f t="shared" si="10"/>
        <v>26927889.5</v>
      </c>
      <c r="N66" s="176">
        <f t="shared" si="13"/>
        <v>-10163.503915991498</v>
      </c>
      <c r="O66" s="176">
        <f t="shared" si="11"/>
        <v>-43984.060997537905</v>
      </c>
      <c r="P66" s="176">
        <f t="shared" si="14"/>
        <v>40427.420346391547</v>
      </c>
      <c r="Q66" s="176">
        <f t="shared" si="15"/>
        <v>174956.51609067072</v>
      </c>
    </row>
    <row r="67" spans="1:19" x14ac:dyDescent="0.3">
      <c r="A67" s="60">
        <v>36</v>
      </c>
      <c r="B67" s="170" t="s">
        <v>286</v>
      </c>
      <c r="C67" s="172">
        <f t="shared" si="5"/>
        <v>5175600</v>
      </c>
      <c r="D67" s="172">
        <f t="shared" si="6"/>
        <v>1506940</v>
      </c>
      <c r="E67" s="172">
        <f t="shared" si="16"/>
        <v>3668660</v>
      </c>
      <c r="F67" s="172">
        <f t="shared" si="17"/>
        <v>17481371</v>
      </c>
      <c r="G67" s="172">
        <f t="shared" si="3"/>
        <v>10840.244904893625</v>
      </c>
      <c r="H67" s="172">
        <f t="shared" si="4"/>
        <v>23169.466764537239</v>
      </c>
      <c r="I67" s="145"/>
      <c r="J67" s="171">
        <f t="shared" si="9"/>
        <v>4175600</v>
      </c>
      <c r="K67" s="171">
        <f t="shared" si="12"/>
        <v>1361205</v>
      </c>
      <c r="L67" s="171">
        <f t="shared" si="8"/>
        <v>2814395</v>
      </c>
      <c r="M67" s="171">
        <f t="shared" si="10"/>
        <v>24113494.5</v>
      </c>
      <c r="N67" s="176">
        <f t="shared" si="13"/>
        <v>-9243.8606212541545</v>
      </c>
      <c r="O67" s="176">
        <f t="shared" si="11"/>
        <v>-34740.200376283748</v>
      </c>
      <c r="P67" s="176">
        <f t="shared" si="14"/>
        <v>36769.350614496325</v>
      </c>
      <c r="Q67" s="176">
        <f t="shared" si="15"/>
        <v>138187.16547617438</v>
      </c>
    </row>
    <row r="68" spans="1:19" x14ac:dyDescent="0.3">
      <c r="A68" s="60">
        <v>37</v>
      </c>
      <c r="B68" s="170" t="s">
        <v>287</v>
      </c>
      <c r="C68" s="172">
        <f t="shared" si="5"/>
        <v>5175600</v>
      </c>
      <c r="D68" s="172">
        <f t="shared" si="6"/>
        <v>1245548</v>
      </c>
      <c r="E68" s="172">
        <f t="shared" si="16"/>
        <v>3930052</v>
      </c>
      <c r="F68" s="172">
        <f t="shared" si="17"/>
        <v>13551319</v>
      </c>
      <c r="G68" s="172">
        <f t="shared" si="3"/>
        <v>8959.9085180208567</v>
      </c>
      <c r="H68" s="172">
        <f t="shared" si="4"/>
        <v>14209.558246516382</v>
      </c>
      <c r="I68" s="145"/>
      <c r="J68" s="171">
        <f t="shared" si="9"/>
        <v>4175600</v>
      </c>
      <c r="K68" s="171">
        <f t="shared" si="12"/>
        <v>1218937</v>
      </c>
      <c r="L68" s="171">
        <f t="shared" si="8"/>
        <v>2956663</v>
      </c>
      <c r="M68" s="171">
        <f t="shared" si="10"/>
        <v>21156831.5</v>
      </c>
      <c r="N68" s="176">
        <f t="shared" si="13"/>
        <v>-8277.7293871983038</v>
      </c>
      <c r="O68" s="176">
        <f t="shared" si="11"/>
        <v>-26462.470989085443</v>
      </c>
      <c r="P68" s="176">
        <f t="shared" si="14"/>
        <v>32926.365573923969</v>
      </c>
      <c r="Q68" s="176">
        <f t="shared" si="15"/>
        <v>105260.79990225041</v>
      </c>
    </row>
    <row r="69" spans="1:19" x14ac:dyDescent="0.3">
      <c r="A69" s="60">
        <v>38</v>
      </c>
      <c r="B69" s="170" t="s">
        <v>288</v>
      </c>
      <c r="C69" s="172">
        <f t="shared" si="5"/>
        <v>5175600</v>
      </c>
      <c r="D69" s="172">
        <f t="shared" si="6"/>
        <v>965531</v>
      </c>
      <c r="E69" s="172">
        <f t="shared" si="16"/>
        <v>4210069</v>
      </c>
      <c r="F69" s="172">
        <f t="shared" si="17"/>
        <v>9341250</v>
      </c>
      <c r="G69" s="172">
        <f t="shared" si="3"/>
        <v>6945.598176396913</v>
      </c>
      <c r="H69" s="172">
        <f t="shared" si="4"/>
        <v>7263.9600701194695</v>
      </c>
      <c r="I69" s="145"/>
      <c r="J69" s="171">
        <f t="shared" si="9"/>
        <v>4175600</v>
      </c>
      <c r="K69" s="171">
        <f t="shared" si="12"/>
        <v>1069478</v>
      </c>
      <c r="L69" s="171">
        <f t="shared" si="8"/>
        <v>3106122</v>
      </c>
      <c r="M69" s="171">
        <f t="shared" si="10"/>
        <v>18050709.5</v>
      </c>
      <c r="N69" s="176">
        <f t="shared" si="13"/>
        <v>-7262.7601050338335</v>
      </c>
      <c r="O69" s="176">
        <f t="shared" si="11"/>
        <v>-19199.710884051608</v>
      </c>
      <c r="P69" s="176">
        <f t="shared" si="14"/>
        <v>28889.117185188992</v>
      </c>
      <c r="Q69" s="176">
        <f t="shared" si="15"/>
        <v>76371.682717061412</v>
      </c>
    </row>
    <row r="70" spans="1:19" x14ac:dyDescent="0.3">
      <c r="A70" s="60">
        <v>39</v>
      </c>
      <c r="B70" s="170" t="s">
        <v>289</v>
      </c>
      <c r="C70" s="172">
        <f t="shared" si="5"/>
        <v>5175600</v>
      </c>
      <c r="D70" s="172">
        <f t="shared" si="6"/>
        <v>665564</v>
      </c>
      <c r="E70" s="172">
        <f t="shared" si="16"/>
        <v>4510036</v>
      </c>
      <c r="F70" s="172">
        <f t="shared" si="17"/>
        <v>4831214</v>
      </c>
      <c r="G70" s="172">
        <f t="shared" si="3"/>
        <v>4787.7678154626619</v>
      </c>
      <c r="H70" s="172">
        <f t="shared" si="4"/>
        <v>2476.1922546568076</v>
      </c>
      <c r="I70" s="145"/>
      <c r="J70" s="171">
        <f t="shared" si="9"/>
        <v>4175600</v>
      </c>
      <c r="K70" s="171">
        <f t="shared" si="12"/>
        <v>912463</v>
      </c>
      <c r="L70" s="171">
        <f t="shared" si="8"/>
        <v>3263137</v>
      </c>
      <c r="M70" s="171">
        <f t="shared" si="10"/>
        <v>14787572.5</v>
      </c>
      <c r="N70" s="176">
        <f t="shared" si="13"/>
        <v>-6196.4842336696411</v>
      </c>
      <c r="O70" s="176">
        <f t="shared" si="11"/>
        <v>-13003.226650381966</v>
      </c>
      <c r="P70" s="176">
        <f t="shared" si="14"/>
        <v>24647.786320050061</v>
      </c>
      <c r="Q70" s="176">
        <f t="shared" si="15"/>
        <v>51723.896397011355</v>
      </c>
    </row>
    <row r="71" spans="1:19" x14ac:dyDescent="0.3">
      <c r="A71" s="60">
        <v>40</v>
      </c>
      <c r="B71" s="178" t="s">
        <v>330</v>
      </c>
      <c r="C71" s="175">
        <f>+C70-162</f>
        <v>5175438</v>
      </c>
      <c r="D71" s="175">
        <f t="shared" si="6"/>
        <v>344224</v>
      </c>
      <c r="E71" s="175">
        <f t="shared" si="16"/>
        <v>4831214</v>
      </c>
      <c r="F71" s="175">
        <f t="shared" si="17"/>
        <v>0</v>
      </c>
      <c r="G71" s="175">
        <f t="shared" si="3"/>
        <v>2476.192254656778</v>
      </c>
      <c r="H71" s="175">
        <f>ROUND(+H70-G71,0)</f>
        <v>0</v>
      </c>
      <c r="I71" s="145"/>
      <c r="J71" s="171">
        <f>+J70</f>
        <v>4175600</v>
      </c>
      <c r="K71" s="171">
        <f t="shared" si="12"/>
        <v>747512</v>
      </c>
      <c r="L71" s="171">
        <f t="shared" si="8"/>
        <v>3428088</v>
      </c>
      <c r="M71" s="171">
        <f>ROUND(+M70-L71,0)</f>
        <v>11359485</v>
      </c>
      <c r="N71" s="176">
        <f t="shared" si="13"/>
        <v>-5076.3079340729937</v>
      </c>
      <c r="O71" s="176">
        <f>ROUND(+O70-N71,0)</f>
        <v>-7927</v>
      </c>
      <c r="P71" s="176">
        <f t="shared" si="14"/>
        <v>20192.055452016913</v>
      </c>
      <c r="Q71" s="176">
        <f t="shared" si="15"/>
        <v>31531.840944994441</v>
      </c>
    </row>
    <row r="72" spans="1:19" s="161" customFormat="1" x14ac:dyDescent="0.3">
      <c r="C72" s="177"/>
      <c r="E72" s="177"/>
      <c r="G72" s="163"/>
      <c r="H72" s="164"/>
      <c r="J72" s="171">
        <f t="shared" ref="J72:J73" si="18">+J71</f>
        <v>4175600</v>
      </c>
      <c r="K72" s="171">
        <f t="shared" ref="K72:K74" si="19">ROUND(+M71*$K$30,0)</f>
        <v>574222</v>
      </c>
      <c r="L72" s="171">
        <f t="shared" ref="L72:L74" si="20">+J72-K72</f>
        <v>3601378</v>
      </c>
      <c r="M72" s="171">
        <f t="shared" ref="M72:M74" si="21">ROUND(+M71-L72,0)</f>
        <v>7758107</v>
      </c>
      <c r="N72" s="176">
        <f t="shared" si="13"/>
        <v>-3899.5070916800682</v>
      </c>
      <c r="O72" s="176">
        <f t="shared" ref="O72:O74" si="22">ROUND(+O71-N72,0)</f>
        <v>-4027</v>
      </c>
      <c r="P72" s="176">
        <f t="shared" si="14"/>
        <v>15511.088856967859</v>
      </c>
      <c r="Q72" s="176">
        <f t="shared" si="15"/>
        <v>16020.752088026582</v>
      </c>
    </row>
    <row r="73" spans="1:19" x14ac:dyDescent="0.3">
      <c r="J73" s="171">
        <f t="shared" si="18"/>
        <v>4175600</v>
      </c>
      <c r="K73" s="171">
        <f t="shared" si="19"/>
        <v>392172</v>
      </c>
      <c r="L73" s="171">
        <f t="shared" si="20"/>
        <v>3783428</v>
      </c>
      <c r="M73" s="171">
        <f t="shared" si="21"/>
        <v>3974679</v>
      </c>
      <c r="N73" s="176">
        <f t="shared" si="13"/>
        <v>-2663.2187343451556</v>
      </c>
      <c r="O73" s="176">
        <f t="shared" si="22"/>
        <v>-1364</v>
      </c>
      <c r="P73" s="176">
        <f t="shared" si="14"/>
        <v>10593.498476283417</v>
      </c>
      <c r="Q73" s="176">
        <f t="shared" si="15"/>
        <v>5427.2536117431646</v>
      </c>
    </row>
    <row r="74" spans="1:19" x14ac:dyDescent="0.3">
      <c r="J74" s="179">
        <f>+J73-1</f>
        <v>4175599</v>
      </c>
      <c r="K74" s="179">
        <f t="shared" si="19"/>
        <v>200920</v>
      </c>
      <c r="L74" s="179">
        <f t="shared" si="20"/>
        <v>3974679</v>
      </c>
      <c r="M74" s="179">
        <f t="shared" si="21"/>
        <v>0</v>
      </c>
      <c r="N74" s="180">
        <f t="shared" si="13"/>
        <v>-1364.4358831101799</v>
      </c>
      <c r="O74" s="180">
        <f t="shared" si="22"/>
        <v>0</v>
      </c>
      <c r="P74" s="180">
        <f t="shared" si="14"/>
        <v>5427.3234347264997</v>
      </c>
      <c r="Q74" s="180">
        <f>ROUND(+Q73-P74,0)</f>
        <v>0</v>
      </c>
      <c r="R74" s="161"/>
      <c r="S74" s="161"/>
    </row>
    <row r="75" spans="1:19" x14ac:dyDescent="0.3">
      <c r="P75" s="161"/>
      <c r="Q75" s="161"/>
      <c r="R75" s="161"/>
      <c r="S75" s="161"/>
    </row>
    <row r="76" spans="1:19" x14ac:dyDescent="0.3">
      <c r="P76" s="161"/>
      <c r="Q76" s="161"/>
      <c r="R76" s="161"/>
      <c r="S76" s="161"/>
    </row>
    <row r="77" spans="1:19" x14ac:dyDescent="0.3">
      <c r="P77" s="161"/>
      <c r="Q77" s="161"/>
      <c r="R77" s="161"/>
      <c r="S77" s="161"/>
    </row>
    <row r="78" spans="1:19" x14ac:dyDescent="0.3">
      <c r="P78" s="161"/>
      <c r="Q78" s="161"/>
      <c r="R78" s="161"/>
      <c r="S78" s="161"/>
    </row>
    <row r="79" spans="1:19" x14ac:dyDescent="0.3">
      <c r="P79" s="161"/>
      <c r="Q79" s="161"/>
      <c r="R79" s="161"/>
      <c r="S79" s="161"/>
    </row>
    <row r="80" spans="1:19" x14ac:dyDescent="0.3">
      <c r="P80" s="161"/>
      <c r="Q80" s="161"/>
      <c r="R80" s="161"/>
      <c r="S80" s="161"/>
    </row>
    <row r="81" spans="16:19" x14ac:dyDescent="0.3">
      <c r="P81" s="161"/>
      <c r="Q81" s="161"/>
      <c r="R81" s="161"/>
      <c r="S81" s="161"/>
    </row>
    <row r="82" spans="16:19" x14ac:dyDescent="0.3">
      <c r="P82" s="161"/>
      <c r="Q82" s="161"/>
      <c r="R82" s="161"/>
      <c r="S82" s="161"/>
    </row>
  </sheetData>
  <mergeCells count="5">
    <mergeCell ref="B29:B30"/>
    <mergeCell ref="E29:E30"/>
    <mergeCell ref="B28:H28"/>
    <mergeCell ref="L29:L30"/>
    <mergeCell ref="J28:Q28"/>
  </mergeCells>
  <pageMargins left="0.25" right="0.25" top="0.75" bottom="0.75" header="0.3" footer="0.3"/>
  <pageSetup paperSize="5" orientation="landscape" horizontalDpi="4294967295" verticalDpi="4294967295" r:id="rId1"/>
  <ignoredErrors>
    <ignoredError sqref="N42:N74 P42:P74" 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4"/>
  <sheetViews>
    <sheetView zoomScale="85" zoomScaleNormal="85" workbookViewId="0"/>
  </sheetViews>
  <sheetFormatPr defaultRowHeight="15" x14ac:dyDescent="0.25"/>
  <cols>
    <col min="1" max="1" width="4.140625" customWidth="1"/>
    <col min="2" max="2" width="12.140625" customWidth="1"/>
    <col min="3" max="3" width="11.140625" customWidth="1"/>
    <col min="4" max="4" width="17.42578125" bestFit="1" customWidth="1"/>
    <col min="5" max="5" width="16.28515625" customWidth="1"/>
    <col min="6" max="6" width="16.140625" customWidth="1"/>
    <col min="7" max="7" width="3.42578125" customWidth="1"/>
    <col min="8" max="11" width="14" customWidth="1"/>
    <col min="12" max="12" width="3.85546875" customWidth="1"/>
    <col min="13" max="13" width="14.5703125" customWidth="1"/>
    <col min="14" max="14" width="13.7109375" customWidth="1"/>
    <col min="15" max="15" width="2.28515625" customWidth="1"/>
    <col min="16" max="16" width="14.7109375" customWidth="1"/>
    <col min="17" max="17" width="14" customWidth="1"/>
    <col min="18" max="18" width="3.5703125" customWidth="1"/>
    <col min="19" max="19" width="12.28515625" customWidth="1"/>
    <col min="20" max="20" width="12.85546875" customWidth="1"/>
    <col min="21" max="21" width="3" customWidth="1"/>
    <col min="22" max="22" width="16.28515625" style="116" bestFit="1" customWidth="1"/>
    <col min="23" max="23" width="13.28515625" customWidth="1"/>
  </cols>
  <sheetData>
    <row r="1" spans="1:22" ht="18.75" x14ac:dyDescent="0.25">
      <c r="A1" s="63" t="s">
        <v>324</v>
      </c>
      <c r="B1" s="63"/>
      <c r="F1" s="84"/>
      <c r="G1" s="84"/>
    </row>
    <row r="3" spans="1:22" x14ac:dyDescent="0.25">
      <c r="A3" s="205" t="s">
        <v>385</v>
      </c>
    </row>
    <row r="5" spans="1:22" ht="14.25" customHeight="1" x14ac:dyDescent="0.25">
      <c r="B5" s="772" t="s">
        <v>315</v>
      </c>
      <c r="C5" s="772"/>
      <c r="D5" s="772"/>
      <c r="E5" s="772"/>
      <c r="F5" s="75"/>
      <c r="G5" s="1"/>
      <c r="H5" s="772" t="s">
        <v>316</v>
      </c>
      <c r="I5" s="772"/>
      <c r="J5" s="772"/>
      <c r="K5" s="772"/>
      <c r="L5" s="157"/>
      <c r="M5" s="832" t="s">
        <v>781</v>
      </c>
      <c r="N5" s="832"/>
      <c r="O5" s="832"/>
      <c r="P5" s="832"/>
      <c r="Q5" s="157"/>
      <c r="R5" s="157"/>
      <c r="S5" s="8"/>
      <c r="T5" s="8"/>
    </row>
    <row r="6" spans="1:22" x14ac:dyDescent="0.25">
      <c r="B6" s="100">
        <f>+'Example 4 Assumptions Summary'!F20</f>
        <v>2612930</v>
      </c>
      <c r="C6" s="1" t="s">
        <v>121</v>
      </c>
      <c r="D6" s="1"/>
      <c r="E6" s="1"/>
      <c r="F6" s="11"/>
      <c r="G6" s="1"/>
      <c r="H6" s="100">
        <f>+'Example 4 Assumptions Summary'!N24</f>
        <v>2118614.4812500002</v>
      </c>
      <c r="I6" s="1" t="s">
        <v>121</v>
      </c>
      <c r="J6" s="1"/>
      <c r="K6" s="8"/>
      <c r="L6" s="8"/>
      <c r="M6" s="100">
        <f>+B9</f>
        <v>33799394.86574129</v>
      </c>
      <c r="N6" t="s">
        <v>48</v>
      </c>
      <c r="R6" s="8"/>
      <c r="S6" s="8"/>
      <c r="T6" s="8"/>
    </row>
    <row r="7" spans="1:22" x14ac:dyDescent="0.25">
      <c r="B7" s="11">
        <v>37</v>
      </c>
      <c r="C7" s="11" t="s">
        <v>379</v>
      </c>
      <c r="D7" s="11"/>
      <c r="E7" s="11"/>
      <c r="F7" s="1"/>
      <c r="G7" s="1"/>
      <c r="H7" s="11">
        <v>33</v>
      </c>
      <c r="I7" s="11" t="s">
        <v>317</v>
      </c>
      <c r="J7" s="1"/>
      <c r="K7" s="8"/>
      <c r="L7" s="8"/>
      <c r="M7" s="113">
        <f>+B6*3</f>
        <v>7838790</v>
      </c>
      <c r="N7" t="s">
        <v>298</v>
      </c>
      <c r="R7" s="8"/>
    </row>
    <row r="8" spans="1:22" ht="15.75" thickBot="1" x14ac:dyDescent="0.3">
      <c r="B8" s="159">
        <v>7.1249999999999994E-2</v>
      </c>
      <c r="C8" s="11" t="s">
        <v>125</v>
      </c>
      <c r="D8" s="11"/>
      <c r="E8" s="11"/>
      <c r="F8" s="11"/>
      <c r="G8" s="1"/>
      <c r="H8" s="160">
        <f>+'Example 4 Assumptions Summary'!M19</f>
        <v>5.0549999999999998E-2</v>
      </c>
      <c r="I8" s="11" t="s">
        <v>125</v>
      </c>
      <c r="J8" s="11"/>
      <c r="M8" s="114">
        <f>(SUM(M6:M7))</f>
        <v>41638184.86574129</v>
      </c>
      <c r="N8" t="s">
        <v>323</v>
      </c>
    </row>
    <row r="9" spans="1:22" ht="15.75" thickTop="1" x14ac:dyDescent="0.25">
      <c r="B9" s="193">
        <f>-PV(B8,B7,B6)</f>
        <v>33799394.86574129</v>
      </c>
      <c r="C9" s="92" t="s">
        <v>126</v>
      </c>
      <c r="D9" s="92"/>
      <c r="E9" s="92"/>
      <c r="F9" s="11"/>
      <c r="G9" s="1"/>
      <c r="H9" s="232">
        <f>-PV(H8,H7,H6)</f>
        <v>33677873.905871764</v>
      </c>
      <c r="I9" s="92" t="s">
        <v>320</v>
      </c>
      <c r="J9" s="11"/>
      <c r="T9" s="93"/>
    </row>
    <row r="10" spans="1:22" x14ac:dyDescent="0.25">
      <c r="B10" s="8"/>
      <c r="C10" s="8"/>
      <c r="D10" s="8"/>
      <c r="E10" s="8"/>
      <c r="F10" s="8"/>
      <c r="G10" s="1"/>
      <c r="H10" s="233">
        <f>-F30</f>
        <v>-32020935.770477727</v>
      </c>
      <c r="I10" s="92" t="s">
        <v>321</v>
      </c>
      <c r="T10" s="8"/>
    </row>
    <row r="11" spans="1:22" ht="15.75" thickBot="1" x14ac:dyDescent="0.3">
      <c r="B11" s="73"/>
      <c r="C11" s="92"/>
      <c r="D11" s="8"/>
      <c r="E11" s="11"/>
      <c r="F11" s="1"/>
      <c r="G11" s="1"/>
      <c r="H11" s="77">
        <f>SUM(H9:H10)</f>
        <v>1656938.1353940368</v>
      </c>
      <c r="I11" s="92" t="s">
        <v>322</v>
      </c>
      <c r="M11" s="114">
        <f>+H11</f>
        <v>1656938.1353940368</v>
      </c>
      <c r="N11" t="s">
        <v>782</v>
      </c>
      <c r="T11" s="8"/>
    </row>
    <row r="12" spans="1:22" ht="15.75" thickTop="1" x14ac:dyDescent="0.25">
      <c r="B12" s="194"/>
      <c r="C12" s="92"/>
      <c r="D12" s="8"/>
      <c r="E12" s="11"/>
      <c r="F12" s="1"/>
      <c r="G12" s="1"/>
      <c r="N12" s="272" t="s">
        <v>783</v>
      </c>
      <c r="T12" s="8"/>
    </row>
    <row r="13" spans="1:22" x14ac:dyDescent="0.25">
      <c r="B13" s="8"/>
      <c r="C13" s="8"/>
      <c r="D13" s="8"/>
      <c r="E13" s="11"/>
      <c r="F13" s="1"/>
      <c r="G13" s="1"/>
      <c r="T13" s="8"/>
    </row>
    <row r="14" spans="1:22" x14ac:dyDescent="0.25">
      <c r="B14" s="8"/>
      <c r="C14" s="11"/>
      <c r="D14" s="8"/>
      <c r="E14" s="8"/>
      <c r="F14" s="8"/>
      <c r="G14" s="8"/>
      <c r="H14" s="8"/>
      <c r="I14" s="8"/>
      <c r="J14" s="8"/>
      <c r="K14" s="8"/>
      <c r="L14" s="8"/>
      <c r="N14" s="61">
        <f>SUM(N21:N62)-N18</f>
        <v>0</v>
      </c>
      <c r="O14" s="10"/>
      <c r="P14" s="8"/>
      <c r="Q14" s="61">
        <f>SUM(Q21:Q60)-Q18</f>
        <v>0</v>
      </c>
      <c r="R14" s="8"/>
      <c r="S14" s="8"/>
      <c r="T14" s="61">
        <f>SUM(T21:T73)-T18</f>
        <v>0</v>
      </c>
    </row>
    <row r="15" spans="1:22" ht="19.5" customHeight="1" x14ac:dyDescent="0.25">
      <c r="B15" s="826" t="s">
        <v>318</v>
      </c>
      <c r="C15" s="827"/>
      <c r="D15" s="827"/>
      <c r="E15" s="827"/>
      <c r="F15" s="828"/>
      <c r="G15" s="158"/>
      <c r="H15" s="826" t="s">
        <v>319</v>
      </c>
      <c r="I15" s="827"/>
      <c r="J15" s="827"/>
      <c r="K15" s="828"/>
      <c r="L15" s="8"/>
      <c r="M15" s="819" t="s">
        <v>618</v>
      </c>
      <c r="N15" s="820"/>
      <c r="O15" s="8"/>
      <c r="P15" s="819" t="s">
        <v>780</v>
      </c>
      <c r="Q15" s="820"/>
      <c r="S15" s="819" t="s">
        <v>302</v>
      </c>
      <c r="T15" s="820"/>
    </row>
    <row r="16" spans="1:22" s="2" customFormat="1" ht="15.4" customHeight="1" x14ac:dyDescent="0.25">
      <c r="B16" s="829"/>
      <c r="C16" s="830"/>
      <c r="D16" s="830"/>
      <c r="E16" s="830"/>
      <c r="F16" s="831"/>
      <c r="G16" s="158"/>
      <c r="H16" s="829"/>
      <c r="I16" s="830"/>
      <c r="J16" s="830"/>
      <c r="K16" s="831"/>
      <c r="L16" s="10"/>
      <c r="M16" s="821"/>
      <c r="N16" s="822"/>
      <c r="P16" s="821"/>
      <c r="Q16" s="822"/>
      <c r="S16" s="821"/>
      <c r="T16" s="822"/>
      <c r="V16" s="116"/>
    </row>
    <row r="17" spans="1:20" s="2" customFormat="1" ht="33.4" customHeight="1" x14ac:dyDescent="0.25">
      <c r="B17" s="812" t="s">
        <v>7</v>
      </c>
      <c r="C17" s="812" t="s">
        <v>826</v>
      </c>
      <c r="D17" s="814" t="s">
        <v>113</v>
      </c>
      <c r="E17" s="814" t="s">
        <v>34</v>
      </c>
      <c r="F17" s="812" t="s">
        <v>33</v>
      </c>
      <c r="H17" s="812" t="s">
        <v>617</v>
      </c>
      <c r="I17" s="814" t="s">
        <v>113</v>
      </c>
      <c r="J17" s="814" t="s">
        <v>34</v>
      </c>
      <c r="K17" s="817" t="s">
        <v>33</v>
      </c>
      <c r="L17" s="10"/>
      <c r="M17" s="823"/>
      <c r="N17" s="824"/>
      <c r="O17" s="10"/>
      <c r="P17" s="823"/>
      <c r="Q17" s="824"/>
      <c r="R17" s="8"/>
      <c r="S17" s="823"/>
      <c r="T17" s="824"/>
    </row>
    <row r="18" spans="1:20" s="2" customFormat="1" x14ac:dyDescent="0.25">
      <c r="B18" s="813"/>
      <c r="C18" s="813"/>
      <c r="D18" s="815"/>
      <c r="E18" s="815"/>
      <c r="F18" s="813"/>
      <c r="G18" s="137"/>
      <c r="H18" s="813"/>
      <c r="I18" s="815"/>
      <c r="J18" s="815"/>
      <c r="K18" s="818"/>
      <c r="L18" s="10"/>
      <c r="M18" s="115" t="s">
        <v>129</v>
      </c>
      <c r="N18" s="115">
        <f>+M8</f>
        <v>41638184.86574129</v>
      </c>
      <c r="O18" s="10"/>
      <c r="P18" s="115" t="s">
        <v>129</v>
      </c>
      <c r="Q18" s="252">
        <f>ROUND(+M11,0)</f>
        <v>1656938</v>
      </c>
      <c r="R18" s="10"/>
      <c r="S18" s="250" t="s">
        <v>129</v>
      </c>
      <c r="T18" s="250">
        <f>+'Example 4 Assumptions Summary'!D4</f>
        <v>66000000</v>
      </c>
    </row>
    <row r="19" spans="1:20" s="2" customFormat="1" ht="14.25" customHeight="1" x14ac:dyDescent="0.25">
      <c r="B19" s="825"/>
      <c r="C19" s="196">
        <f>'Example 4 Assumptions Summary'!$F$20</f>
        <v>2612930</v>
      </c>
      <c r="D19" s="244">
        <f>+B8</f>
        <v>7.1249999999999994E-2</v>
      </c>
      <c r="E19" s="133"/>
      <c r="F19" s="134">
        <f>+B9</f>
        <v>33799394.86574129</v>
      </c>
      <c r="G19" s="137"/>
      <c r="H19" s="134">
        <f>+H6</f>
        <v>2118614.4812500002</v>
      </c>
      <c r="I19" s="244">
        <f>+'Example 4 Assumptions Summary'!M19</f>
        <v>5.0549999999999998E-2</v>
      </c>
      <c r="J19" s="816"/>
      <c r="K19" s="134">
        <f>ROUND(+H9,0)</f>
        <v>33677874</v>
      </c>
      <c r="L19" s="10"/>
      <c r="M19" s="250" t="s">
        <v>128</v>
      </c>
      <c r="N19" s="251">
        <v>40</v>
      </c>
      <c r="O19" s="10"/>
      <c r="P19" s="115" t="s">
        <v>128</v>
      </c>
      <c r="Q19" s="101">
        <v>30</v>
      </c>
      <c r="R19" s="10"/>
      <c r="S19" s="115" t="s">
        <v>128</v>
      </c>
      <c r="T19" s="101">
        <v>50</v>
      </c>
    </row>
    <row r="20" spans="1:20" x14ac:dyDescent="0.25">
      <c r="B20" s="235" t="str">
        <f>'Example 4 Assumptions Summary'!B31</f>
        <v>7/1/20A0</v>
      </c>
      <c r="C20" s="32"/>
      <c r="D20" s="32"/>
      <c r="E20" s="76"/>
      <c r="F20" s="32"/>
      <c r="G20" s="11"/>
      <c r="H20" s="245"/>
      <c r="I20" s="245"/>
      <c r="J20" s="246"/>
      <c r="K20" s="245"/>
      <c r="L20" s="8"/>
      <c r="M20" s="35" t="s">
        <v>300</v>
      </c>
      <c r="N20" s="36"/>
      <c r="O20" s="8"/>
      <c r="P20" s="35" t="s">
        <v>300</v>
      </c>
      <c r="Q20" s="36"/>
      <c r="R20" s="8"/>
      <c r="S20" s="35" t="s">
        <v>300</v>
      </c>
      <c r="T20" s="36"/>
    </row>
    <row r="21" spans="1:20" x14ac:dyDescent="0.25">
      <c r="A21">
        <v>-2</v>
      </c>
      <c r="B21" s="235" t="str">
        <f>'Example 4 Assumptions Summary'!B32</f>
        <v>7/1/20A1</v>
      </c>
      <c r="C21" s="36">
        <f>+C19</f>
        <v>2612930</v>
      </c>
      <c r="D21" s="32"/>
      <c r="E21" s="36">
        <f>+C21</f>
        <v>2612930</v>
      </c>
      <c r="F21" s="36"/>
      <c r="G21" s="73"/>
      <c r="H21" s="247"/>
      <c r="I21" s="245"/>
      <c r="J21" s="247"/>
      <c r="K21" s="247"/>
      <c r="L21" s="8"/>
      <c r="M21" s="35" t="str">
        <f t="shared" ref="M21:M59" si="0">RIGHT(B22,4)</f>
        <v>20A2</v>
      </c>
      <c r="N21" s="36"/>
      <c r="O21" s="8"/>
      <c r="P21" s="35" t="str">
        <f>+M21</f>
        <v>20A2</v>
      </c>
      <c r="Q21" s="36"/>
      <c r="R21" s="8"/>
      <c r="S21" s="35" t="str">
        <f>+P21</f>
        <v>20A2</v>
      </c>
      <c r="T21" s="36"/>
    </row>
    <row r="22" spans="1:20" ht="0.75" customHeight="1" thickBot="1" x14ac:dyDescent="0.3">
      <c r="A22">
        <v>-1</v>
      </c>
      <c r="B22" s="235" t="str">
        <f>'Example 4 Assumptions Summary'!B33</f>
        <v>7/1/20A2</v>
      </c>
      <c r="C22" s="36">
        <f>+C21</f>
        <v>2612930</v>
      </c>
      <c r="D22" s="36"/>
      <c r="E22" s="36">
        <f>+C22</f>
        <v>2612930</v>
      </c>
      <c r="F22" s="36"/>
      <c r="G22" s="73"/>
      <c r="H22" s="247"/>
      <c r="I22" s="247"/>
      <c r="J22" s="247"/>
      <c r="K22" s="247"/>
      <c r="L22" s="8"/>
      <c r="M22" s="35" t="str">
        <f t="shared" si="0"/>
        <v>20A3</v>
      </c>
      <c r="N22" s="36"/>
      <c r="O22" s="8"/>
      <c r="P22" s="35" t="str">
        <f t="shared" ref="P22:P59" si="1">+M22</f>
        <v>20A3</v>
      </c>
      <c r="Q22" s="36"/>
      <c r="R22" s="8"/>
      <c r="S22" s="35" t="str">
        <f t="shared" ref="S22:S59" si="2">+P22</f>
        <v>20A3</v>
      </c>
      <c r="T22" s="36"/>
    </row>
    <row r="23" spans="1:20" ht="14.85" customHeight="1" thickBot="1" x14ac:dyDescent="0.3">
      <c r="A23">
        <v>0</v>
      </c>
      <c r="B23" s="235" t="str">
        <f>'Example 4 Assumptions Summary'!B34</f>
        <v>7/1/20A3</v>
      </c>
      <c r="C23" s="36">
        <f t="shared" ref="C23:C60" si="3">+C22</f>
        <v>2612930</v>
      </c>
      <c r="D23" s="36"/>
      <c r="E23" s="36">
        <f>+C23</f>
        <v>2612930</v>
      </c>
      <c r="F23" s="236">
        <f>+B9</f>
        <v>33799394.86574129</v>
      </c>
      <c r="G23" s="73"/>
      <c r="H23" s="240"/>
      <c r="I23" s="240"/>
      <c r="J23" s="240"/>
      <c r="K23" s="240"/>
      <c r="L23" s="8"/>
      <c r="M23" s="35" t="str">
        <f t="shared" si="0"/>
        <v>20A4</v>
      </c>
      <c r="N23" s="36">
        <f>+$N$18/$N$19</f>
        <v>1040954.6216435323</v>
      </c>
      <c r="O23" s="8"/>
      <c r="P23" s="681" t="str">
        <f t="shared" si="1"/>
        <v>20A4</v>
      </c>
      <c r="Q23" s="240"/>
      <c r="R23" s="8"/>
      <c r="S23" s="35" t="str">
        <f t="shared" si="2"/>
        <v>20A4</v>
      </c>
      <c r="T23" s="36">
        <f t="shared" ref="T23:T54" si="4">+$T$18/$T$19</f>
        <v>1320000</v>
      </c>
    </row>
    <row r="24" spans="1:20" ht="14.85" customHeight="1" x14ac:dyDescent="0.25">
      <c r="A24">
        <v>1</v>
      </c>
      <c r="B24" s="235" t="str">
        <f>'Example 4 Assumptions Summary'!B35</f>
        <v>7/1/20A4</v>
      </c>
      <c r="C24" s="36">
        <f t="shared" si="3"/>
        <v>2612930</v>
      </c>
      <c r="D24" s="36">
        <f>+F23*$D$19</f>
        <v>2408206.8841840667</v>
      </c>
      <c r="E24" s="36">
        <f>+C24-D24</f>
        <v>204723.11581593333</v>
      </c>
      <c r="F24" s="36">
        <f>+F23-E24</f>
        <v>33594671.74992536</v>
      </c>
      <c r="G24" s="73"/>
      <c r="H24" s="240"/>
      <c r="I24" s="240"/>
      <c r="J24" s="240"/>
      <c r="K24" s="240"/>
      <c r="L24" s="8"/>
      <c r="M24" s="35" t="str">
        <f t="shared" si="0"/>
        <v>20A5</v>
      </c>
      <c r="N24" s="36">
        <f t="shared" ref="N24:N62" si="5">+$N$18/$N$19</f>
        <v>1040954.6216435323</v>
      </c>
      <c r="O24" s="8"/>
      <c r="P24" s="681" t="str">
        <f t="shared" si="1"/>
        <v>20A5</v>
      </c>
      <c r="Q24" s="240"/>
      <c r="R24" s="8"/>
      <c r="S24" s="35" t="str">
        <f t="shared" si="2"/>
        <v>20A5</v>
      </c>
      <c r="T24" s="36">
        <f t="shared" si="4"/>
        <v>1320000</v>
      </c>
    </row>
    <row r="25" spans="1:20" ht="14.85" customHeight="1" x14ac:dyDescent="0.25">
      <c r="A25">
        <v>2</v>
      </c>
      <c r="B25" s="235" t="str">
        <f>'Example 4 Assumptions Summary'!B36</f>
        <v>7/1/20A5</v>
      </c>
      <c r="C25" s="36">
        <f t="shared" si="3"/>
        <v>2612930</v>
      </c>
      <c r="D25" s="36">
        <f t="shared" ref="D25:D60" si="6">+F24*$D$19</f>
        <v>2393620.3621821818</v>
      </c>
      <c r="E25" s="36">
        <f t="shared" ref="E25:E60" si="7">+C25-D25</f>
        <v>219309.63781781821</v>
      </c>
      <c r="F25" s="36">
        <f t="shared" ref="F25:F59" si="8">+F24-E25</f>
        <v>33375362.112107541</v>
      </c>
      <c r="G25" s="73"/>
      <c r="H25" s="240"/>
      <c r="I25" s="240"/>
      <c r="J25" s="240"/>
      <c r="K25" s="240"/>
      <c r="L25" s="8"/>
      <c r="M25" s="35" t="str">
        <f t="shared" si="0"/>
        <v>20A6</v>
      </c>
      <c r="N25" s="36">
        <f t="shared" si="5"/>
        <v>1040954.6216435323</v>
      </c>
      <c r="O25" s="8"/>
      <c r="P25" s="681" t="str">
        <f t="shared" si="1"/>
        <v>20A6</v>
      </c>
      <c r="Q25" s="240"/>
      <c r="R25" s="8"/>
      <c r="S25" s="35" t="str">
        <f t="shared" si="2"/>
        <v>20A6</v>
      </c>
      <c r="T25" s="36">
        <f t="shared" si="4"/>
        <v>1320000</v>
      </c>
    </row>
    <row r="26" spans="1:20" ht="14.85" customHeight="1" x14ac:dyDescent="0.25">
      <c r="A26">
        <v>3</v>
      </c>
      <c r="B26" s="235" t="str">
        <f>'Example 4 Assumptions Summary'!B37</f>
        <v>7/1/20A6</v>
      </c>
      <c r="C26" s="36">
        <f t="shared" si="3"/>
        <v>2612930</v>
      </c>
      <c r="D26" s="36">
        <f t="shared" si="6"/>
        <v>2377994.5504876622</v>
      </c>
      <c r="E26" s="36">
        <f t="shared" si="7"/>
        <v>234935.4495123378</v>
      </c>
      <c r="F26" s="36">
        <f t="shared" si="8"/>
        <v>33140426.662595205</v>
      </c>
      <c r="G26" s="73"/>
      <c r="H26" s="240"/>
      <c r="I26" s="240"/>
      <c r="J26" s="240"/>
      <c r="K26" s="240"/>
      <c r="L26" s="8"/>
      <c r="M26" s="35" t="str">
        <f t="shared" si="0"/>
        <v>20A7</v>
      </c>
      <c r="N26" s="36">
        <f t="shared" si="5"/>
        <v>1040954.6216435323</v>
      </c>
      <c r="O26" s="8"/>
      <c r="P26" s="681" t="str">
        <f t="shared" si="1"/>
        <v>20A7</v>
      </c>
      <c r="Q26" s="240"/>
      <c r="R26" s="8"/>
      <c r="S26" s="35" t="str">
        <f t="shared" si="2"/>
        <v>20A7</v>
      </c>
      <c r="T26" s="36">
        <f t="shared" si="4"/>
        <v>1320000</v>
      </c>
    </row>
    <row r="27" spans="1:20" ht="14.85" customHeight="1" x14ac:dyDescent="0.25">
      <c r="A27">
        <v>4</v>
      </c>
      <c r="B27" s="235" t="str">
        <f>'Example 4 Assumptions Summary'!B38</f>
        <v>7/1/20A7</v>
      </c>
      <c r="C27" s="36">
        <f t="shared" si="3"/>
        <v>2612930</v>
      </c>
      <c r="D27" s="36">
        <f t="shared" si="6"/>
        <v>2361255.3997099083</v>
      </c>
      <c r="E27" s="36">
        <f t="shared" si="7"/>
        <v>251674.60029009171</v>
      </c>
      <c r="F27" s="36">
        <f t="shared" si="8"/>
        <v>32888752.062305115</v>
      </c>
      <c r="G27" s="73"/>
      <c r="H27" s="240"/>
      <c r="I27" s="240"/>
      <c r="J27" s="240"/>
      <c r="K27" s="240"/>
      <c r="L27" s="8"/>
      <c r="M27" s="35" t="str">
        <f t="shared" si="0"/>
        <v>20A8</v>
      </c>
      <c r="N27" s="36">
        <f t="shared" si="5"/>
        <v>1040954.6216435323</v>
      </c>
      <c r="O27" s="8"/>
      <c r="P27" s="681" t="str">
        <f t="shared" si="1"/>
        <v>20A8</v>
      </c>
      <c r="Q27" s="240"/>
      <c r="R27" s="8"/>
      <c r="S27" s="35" t="str">
        <f t="shared" si="2"/>
        <v>20A8</v>
      </c>
      <c r="T27" s="36">
        <f t="shared" si="4"/>
        <v>1320000</v>
      </c>
    </row>
    <row r="28" spans="1:20" ht="14.85" customHeight="1" x14ac:dyDescent="0.25">
      <c r="A28">
        <v>5</v>
      </c>
      <c r="B28" s="235" t="str">
        <f>'Example 4 Assumptions Summary'!B39</f>
        <v>7/1/20A8</v>
      </c>
      <c r="C28" s="36">
        <f t="shared" si="3"/>
        <v>2612930</v>
      </c>
      <c r="D28" s="36">
        <f t="shared" si="6"/>
        <v>2343323.5844392395</v>
      </c>
      <c r="E28" s="36">
        <f t="shared" si="7"/>
        <v>269606.41556076054</v>
      </c>
      <c r="F28" s="36">
        <f t="shared" si="8"/>
        <v>32619145.646744356</v>
      </c>
      <c r="G28" s="73"/>
      <c r="H28" s="240"/>
      <c r="I28" s="240"/>
      <c r="J28" s="240"/>
      <c r="K28" s="240"/>
      <c r="L28" s="8"/>
      <c r="M28" s="35" t="str">
        <f t="shared" si="0"/>
        <v>20A9</v>
      </c>
      <c r="N28" s="36">
        <f t="shared" si="5"/>
        <v>1040954.6216435323</v>
      </c>
      <c r="O28" s="8"/>
      <c r="P28" s="681" t="str">
        <f t="shared" si="1"/>
        <v>20A9</v>
      </c>
      <c r="Q28" s="240"/>
      <c r="R28" s="8"/>
      <c r="S28" s="35" t="str">
        <f t="shared" si="2"/>
        <v>20A9</v>
      </c>
      <c r="T28" s="36">
        <f t="shared" si="4"/>
        <v>1320000</v>
      </c>
    </row>
    <row r="29" spans="1:20" ht="14.85" customHeight="1" thickBot="1" x14ac:dyDescent="0.3">
      <c r="A29">
        <v>6</v>
      </c>
      <c r="B29" s="235" t="str">
        <f>'Example 4 Assumptions Summary'!B40</f>
        <v>7/1/20A9</v>
      </c>
      <c r="C29" s="36">
        <f t="shared" si="3"/>
        <v>2612930</v>
      </c>
      <c r="D29" s="36">
        <f t="shared" si="6"/>
        <v>2324114.1273305351</v>
      </c>
      <c r="E29" s="36">
        <f t="shared" si="7"/>
        <v>288815.87266946491</v>
      </c>
      <c r="F29" s="36">
        <f t="shared" si="8"/>
        <v>32330329.77407489</v>
      </c>
      <c r="G29" s="73"/>
      <c r="H29" s="240"/>
      <c r="I29" s="240"/>
      <c r="J29" s="240"/>
      <c r="K29" s="240"/>
      <c r="L29" s="8"/>
      <c r="M29" s="35" t="str">
        <f t="shared" si="0"/>
        <v>20B0</v>
      </c>
      <c r="N29" s="36">
        <f t="shared" si="5"/>
        <v>1040954.6216435323</v>
      </c>
      <c r="O29" s="8"/>
      <c r="P29" s="681" t="str">
        <f>+M29</f>
        <v>20B0</v>
      </c>
      <c r="Q29" s="240"/>
      <c r="R29" s="8"/>
      <c r="S29" s="35" t="str">
        <f>+P29</f>
        <v>20B0</v>
      </c>
      <c r="T29" s="36">
        <f t="shared" si="4"/>
        <v>1320000</v>
      </c>
    </row>
    <row r="30" spans="1:20" ht="14.85" customHeight="1" thickBot="1" x14ac:dyDescent="0.3">
      <c r="A30" s="13">
        <v>7</v>
      </c>
      <c r="B30" s="237" t="str">
        <f>'Example 4 Assumptions Summary'!B41</f>
        <v>7/1/20B0</v>
      </c>
      <c r="C30" s="38">
        <f t="shared" si="3"/>
        <v>2612930</v>
      </c>
      <c r="D30" s="38">
        <f t="shared" si="6"/>
        <v>2303535.9964028355</v>
      </c>
      <c r="E30" s="38">
        <f t="shared" si="7"/>
        <v>309394.00359716453</v>
      </c>
      <c r="F30" s="238">
        <f t="shared" si="8"/>
        <v>32020935.770477727</v>
      </c>
      <c r="G30" s="12"/>
      <c r="H30" s="243"/>
      <c r="I30" s="243"/>
      <c r="J30" s="243"/>
      <c r="K30" s="106"/>
      <c r="L30" s="8"/>
      <c r="M30" s="35" t="str">
        <f t="shared" si="0"/>
        <v>20B1</v>
      </c>
      <c r="N30" s="36">
        <f t="shared" si="5"/>
        <v>1040954.6216435323</v>
      </c>
      <c r="O30" s="8"/>
      <c r="P30" s="64" t="str">
        <f>+M30</f>
        <v>20B1</v>
      </c>
      <c r="Q30" s="36">
        <f>+$Q$18/$Q$19</f>
        <v>55231.26666666667</v>
      </c>
      <c r="R30" s="8"/>
      <c r="S30" s="35" t="str">
        <f>+P30</f>
        <v>20B1</v>
      </c>
      <c r="T30" s="36">
        <f t="shared" si="4"/>
        <v>1320000</v>
      </c>
    </row>
    <row r="31" spans="1:20" ht="15.75" thickBot="1" x14ac:dyDescent="0.3">
      <c r="A31">
        <v>8</v>
      </c>
      <c r="B31" s="239" t="str">
        <f>'Example 4 Assumptions Summary'!B42</f>
        <v>7/1/20B1</v>
      </c>
      <c r="C31" s="240">
        <f>+C30</f>
        <v>2612930</v>
      </c>
      <c r="D31" s="240">
        <f>+F30*$D$19</f>
        <v>2281491.6736465381</v>
      </c>
      <c r="E31" s="240">
        <f t="shared" si="7"/>
        <v>331438.32635346195</v>
      </c>
      <c r="F31" s="241">
        <f>+F30-E31</f>
        <v>31689497.444124267</v>
      </c>
      <c r="G31" s="11"/>
      <c r="H31" s="36">
        <f t="shared" ref="H31:H62" si="9">+$H$19</f>
        <v>2118614.4812500002</v>
      </c>
      <c r="I31" s="36">
        <f>+K19*$I$19</f>
        <v>1702416.5307</v>
      </c>
      <c r="J31" s="36">
        <f t="shared" ref="J31:J59" si="10">+H31-I31</f>
        <v>416197.95055000018</v>
      </c>
      <c r="K31" s="32">
        <f>+K19-J31</f>
        <v>33261676.049449999</v>
      </c>
      <c r="L31" s="8"/>
      <c r="M31" s="35" t="str">
        <f t="shared" si="0"/>
        <v>20B2</v>
      </c>
      <c r="N31" s="247">
        <f t="shared" si="5"/>
        <v>1040954.6216435323</v>
      </c>
      <c r="O31" s="8"/>
      <c r="P31" s="35" t="str">
        <f t="shared" si="1"/>
        <v>20B2</v>
      </c>
      <c r="Q31" s="36">
        <f>+$Q$18/$Q$19</f>
        <v>55231.26666666667</v>
      </c>
      <c r="R31" s="8"/>
      <c r="S31" s="35" t="str">
        <f t="shared" si="2"/>
        <v>20B2</v>
      </c>
      <c r="T31" s="36">
        <f t="shared" si="4"/>
        <v>1320000</v>
      </c>
    </row>
    <row r="32" spans="1:20" x14ac:dyDescent="0.25">
      <c r="A32">
        <v>9</v>
      </c>
      <c r="B32" s="239" t="str">
        <f>'Example 4 Assumptions Summary'!B43</f>
        <v>7/1/20B2</v>
      </c>
      <c r="C32" s="240">
        <f t="shared" si="3"/>
        <v>2612930</v>
      </c>
      <c r="D32" s="240">
        <f t="shared" si="6"/>
        <v>2257876.6928938539</v>
      </c>
      <c r="E32" s="240">
        <f t="shared" si="7"/>
        <v>355053.30710614612</v>
      </c>
      <c r="F32" s="240">
        <f t="shared" si="8"/>
        <v>31334444.137018122</v>
      </c>
      <c r="G32" s="11"/>
      <c r="H32" s="36">
        <f t="shared" si="9"/>
        <v>2118614.4812500002</v>
      </c>
      <c r="I32" s="36">
        <f>+K31*$I$19</f>
        <v>1681377.7242996974</v>
      </c>
      <c r="J32" s="36">
        <f t="shared" si="10"/>
        <v>437236.75695030275</v>
      </c>
      <c r="K32" s="32">
        <f>+K31-J32</f>
        <v>32824439.292499695</v>
      </c>
      <c r="L32" s="8"/>
      <c r="M32" s="35" t="str">
        <f t="shared" si="0"/>
        <v>20B3</v>
      </c>
      <c r="N32" s="247">
        <f t="shared" si="5"/>
        <v>1040954.6216435323</v>
      </c>
      <c r="O32" s="8"/>
      <c r="P32" s="35" t="str">
        <f t="shared" si="1"/>
        <v>20B3</v>
      </c>
      <c r="Q32" s="36">
        <f t="shared" ref="Q32:Q59" si="11">+$Q$18/$Q$19</f>
        <v>55231.26666666667</v>
      </c>
      <c r="R32" s="8"/>
      <c r="S32" s="35" t="str">
        <f t="shared" si="2"/>
        <v>20B3</v>
      </c>
      <c r="T32" s="36">
        <f t="shared" si="4"/>
        <v>1320000</v>
      </c>
    </row>
    <row r="33" spans="1:20" x14ac:dyDescent="0.25">
      <c r="A33">
        <v>10</v>
      </c>
      <c r="B33" s="239" t="str">
        <f>'Example 4 Assumptions Summary'!B44</f>
        <v>7/1/20B3</v>
      </c>
      <c r="C33" s="240">
        <f t="shared" si="3"/>
        <v>2612930</v>
      </c>
      <c r="D33" s="240">
        <f t="shared" si="6"/>
        <v>2232579.1447625412</v>
      </c>
      <c r="E33" s="240">
        <f t="shared" si="7"/>
        <v>380350.85523745883</v>
      </c>
      <c r="F33" s="240">
        <f t="shared" si="8"/>
        <v>30954093.281780664</v>
      </c>
      <c r="G33" s="11"/>
      <c r="H33" s="36">
        <f t="shared" si="9"/>
        <v>2118614.4812500002</v>
      </c>
      <c r="I33" s="36">
        <f t="shared" ref="I33:I59" si="12">+K32*$I$19</f>
        <v>1659275.4062358595</v>
      </c>
      <c r="J33" s="36">
        <f t="shared" si="10"/>
        <v>459339.07501414069</v>
      </c>
      <c r="K33" s="32">
        <f t="shared" ref="K33:K59" si="13">+K32-J33</f>
        <v>32365100.217485555</v>
      </c>
      <c r="L33" s="8"/>
      <c r="M33" s="35" t="str">
        <f t="shared" si="0"/>
        <v>20B4</v>
      </c>
      <c r="N33" s="247">
        <f t="shared" si="5"/>
        <v>1040954.6216435323</v>
      </c>
      <c r="O33" s="8"/>
      <c r="P33" s="35" t="str">
        <f t="shared" si="1"/>
        <v>20B4</v>
      </c>
      <c r="Q33" s="36">
        <f t="shared" si="11"/>
        <v>55231.26666666667</v>
      </c>
      <c r="R33" s="8"/>
      <c r="S33" s="35" t="str">
        <f t="shared" si="2"/>
        <v>20B4</v>
      </c>
      <c r="T33" s="36">
        <f t="shared" si="4"/>
        <v>1320000</v>
      </c>
    </row>
    <row r="34" spans="1:20" x14ac:dyDescent="0.25">
      <c r="A34">
        <v>11</v>
      </c>
      <c r="B34" s="239" t="str">
        <f>'Example 4 Assumptions Summary'!B45</f>
        <v>7/1/20B4</v>
      </c>
      <c r="C34" s="240">
        <f t="shared" si="3"/>
        <v>2612930</v>
      </c>
      <c r="D34" s="240">
        <f t="shared" si="6"/>
        <v>2205479.1463268721</v>
      </c>
      <c r="E34" s="240">
        <f t="shared" si="7"/>
        <v>407450.85367312795</v>
      </c>
      <c r="F34" s="240">
        <f t="shared" si="8"/>
        <v>30546642.428107537</v>
      </c>
      <c r="G34" s="11"/>
      <c r="H34" s="36">
        <f t="shared" si="9"/>
        <v>2118614.4812500002</v>
      </c>
      <c r="I34" s="36">
        <f t="shared" si="12"/>
        <v>1636055.8159938948</v>
      </c>
      <c r="J34" s="36">
        <f t="shared" si="10"/>
        <v>482558.66525610536</v>
      </c>
      <c r="K34" s="32">
        <f t="shared" si="13"/>
        <v>31882541.552229449</v>
      </c>
      <c r="L34" s="8"/>
      <c r="M34" s="35" t="str">
        <f t="shared" si="0"/>
        <v>20B5</v>
      </c>
      <c r="N34" s="247">
        <f t="shared" si="5"/>
        <v>1040954.6216435323</v>
      </c>
      <c r="O34" s="8"/>
      <c r="P34" s="35" t="str">
        <f t="shared" si="1"/>
        <v>20B5</v>
      </c>
      <c r="Q34" s="36">
        <f t="shared" si="11"/>
        <v>55231.26666666667</v>
      </c>
      <c r="R34" s="8"/>
      <c r="S34" s="35" t="str">
        <f t="shared" si="2"/>
        <v>20B5</v>
      </c>
      <c r="T34" s="36">
        <f t="shared" si="4"/>
        <v>1320000</v>
      </c>
    </row>
    <row r="35" spans="1:20" x14ac:dyDescent="0.25">
      <c r="A35">
        <v>12</v>
      </c>
      <c r="B35" s="239" t="str">
        <f>'Example 4 Assumptions Summary'!B46</f>
        <v>7/1/20B5</v>
      </c>
      <c r="C35" s="240">
        <f t="shared" si="3"/>
        <v>2612930</v>
      </c>
      <c r="D35" s="240">
        <f t="shared" si="6"/>
        <v>2176448.2730026618</v>
      </c>
      <c r="E35" s="240">
        <f t="shared" si="7"/>
        <v>436481.72699733824</v>
      </c>
      <c r="F35" s="240">
        <f t="shared" si="8"/>
        <v>30110160.701110199</v>
      </c>
      <c r="G35" s="11"/>
      <c r="H35" s="36">
        <f t="shared" si="9"/>
        <v>2118614.4812500002</v>
      </c>
      <c r="I35" s="36">
        <f t="shared" si="12"/>
        <v>1611662.4754651985</v>
      </c>
      <c r="J35" s="36">
        <f t="shared" si="10"/>
        <v>506952.00578480167</v>
      </c>
      <c r="K35" s="32">
        <f t="shared" si="13"/>
        <v>31375589.546444647</v>
      </c>
      <c r="L35" s="8"/>
      <c r="M35" s="35" t="str">
        <f t="shared" si="0"/>
        <v>20B6</v>
      </c>
      <c r="N35" s="247">
        <f t="shared" si="5"/>
        <v>1040954.6216435323</v>
      </c>
      <c r="O35" s="8"/>
      <c r="P35" s="35" t="str">
        <f t="shared" si="1"/>
        <v>20B6</v>
      </c>
      <c r="Q35" s="36">
        <f t="shared" si="11"/>
        <v>55231.26666666667</v>
      </c>
      <c r="R35" s="8"/>
      <c r="S35" s="35" t="str">
        <f t="shared" si="2"/>
        <v>20B6</v>
      </c>
      <c r="T35" s="36">
        <f t="shared" si="4"/>
        <v>1320000</v>
      </c>
    </row>
    <row r="36" spans="1:20" x14ac:dyDescent="0.25">
      <c r="A36">
        <v>13</v>
      </c>
      <c r="B36" s="239" t="str">
        <f>'Example 4 Assumptions Summary'!B47</f>
        <v>7/1/20B6</v>
      </c>
      <c r="C36" s="240">
        <f t="shared" si="3"/>
        <v>2612930</v>
      </c>
      <c r="D36" s="240">
        <f t="shared" si="6"/>
        <v>2145348.9499541014</v>
      </c>
      <c r="E36" s="240">
        <f t="shared" si="7"/>
        <v>467581.05004589865</v>
      </c>
      <c r="F36" s="240">
        <f t="shared" si="8"/>
        <v>29642579.651064299</v>
      </c>
      <c r="G36" s="11"/>
      <c r="H36" s="36">
        <f t="shared" si="9"/>
        <v>2118614.4812500002</v>
      </c>
      <c r="I36" s="36">
        <f t="shared" si="12"/>
        <v>1586036.0515727769</v>
      </c>
      <c r="J36" s="36">
        <f t="shared" si="10"/>
        <v>532578.42967722332</v>
      </c>
      <c r="K36" s="32">
        <f t="shared" si="13"/>
        <v>30843011.116767425</v>
      </c>
      <c r="L36" s="8"/>
      <c r="M36" s="35" t="str">
        <f t="shared" si="0"/>
        <v>20B7</v>
      </c>
      <c r="N36" s="247">
        <f t="shared" si="5"/>
        <v>1040954.6216435323</v>
      </c>
      <c r="O36" s="8"/>
      <c r="P36" s="35" t="str">
        <f t="shared" si="1"/>
        <v>20B7</v>
      </c>
      <c r="Q36" s="36">
        <f t="shared" si="11"/>
        <v>55231.26666666667</v>
      </c>
      <c r="R36" s="8"/>
      <c r="S36" s="35" t="str">
        <f t="shared" si="2"/>
        <v>20B7</v>
      </c>
      <c r="T36" s="36">
        <f t="shared" si="4"/>
        <v>1320000</v>
      </c>
    </row>
    <row r="37" spans="1:20" x14ac:dyDescent="0.25">
      <c r="A37">
        <v>14</v>
      </c>
      <c r="B37" s="239" t="str">
        <f>'Example 4 Assumptions Summary'!B48</f>
        <v>7/1/20B7</v>
      </c>
      <c r="C37" s="240">
        <f t="shared" si="3"/>
        <v>2612930</v>
      </c>
      <c r="D37" s="240">
        <f t="shared" si="6"/>
        <v>2112033.800138331</v>
      </c>
      <c r="E37" s="240">
        <f t="shared" si="7"/>
        <v>500896.19986166898</v>
      </c>
      <c r="F37" s="240">
        <f t="shared" si="8"/>
        <v>29141683.451202631</v>
      </c>
      <c r="G37" s="11"/>
      <c r="H37" s="36">
        <f t="shared" si="9"/>
        <v>2118614.4812500002</v>
      </c>
      <c r="I37" s="36">
        <f t="shared" si="12"/>
        <v>1559114.2119525932</v>
      </c>
      <c r="J37" s="36">
        <f t="shared" si="10"/>
        <v>559500.26929740701</v>
      </c>
      <c r="K37" s="32">
        <f t="shared" si="13"/>
        <v>30283510.847470019</v>
      </c>
      <c r="L37" s="8"/>
      <c r="M37" s="35" t="str">
        <f t="shared" si="0"/>
        <v>20B8</v>
      </c>
      <c r="N37" s="247">
        <f t="shared" si="5"/>
        <v>1040954.6216435323</v>
      </c>
      <c r="O37" s="8"/>
      <c r="P37" s="35" t="str">
        <f t="shared" si="1"/>
        <v>20B8</v>
      </c>
      <c r="Q37" s="36">
        <f t="shared" si="11"/>
        <v>55231.26666666667</v>
      </c>
      <c r="R37" s="8"/>
      <c r="S37" s="35" t="str">
        <f t="shared" si="2"/>
        <v>20B8</v>
      </c>
      <c r="T37" s="36">
        <f t="shared" si="4"/>
        <v>1320000</v>
      </c>
    </row>
    <row r="38" spans="1:20" x14ac:dyDescent="0.25">
      <c r="A38">
        <v>15</v>
      </c>
      <c r="B38" s="239" t="str">
        <f>'Example 4 Assumptions Summary'!B49</f>
        <v>7/1/20B8</v>
      </c>
      <c r="C38" s="240">
        <f t="shared" si="3"/>
        <v>2612930</v>
      </c>
      <c r="D38" s="240">
        <f t="shared" si="6"/>
        <v>2076344.9458981873</v>
      </c>
      <c r="E38" s="240">
        <f t="shared" si="7"/>
        <v>536585.05410181265</v>
      </c>
      <c r="F38" s="240">
        <f t="shared" si="8"/>
        <v>28605098.397100817</v>
      </c>
      <c r="G38" s="11"/>
      <c r="H38" s="36">
        <f t="shared" si="9"/>
        <v>2118614.4812500002</v>
      </c>
      <c r="I38" s="36">
        <f t="shared" si="12"/>
        <v>1530831.4733396093</v>
      </c>
      <c r="J38" s="36">
        <f t="shared" si="10"/>
        <v>587783.00791039085</v>
      </c>
      <c r="K38" s="32">
        <f t="shared" si="13"/>
        <v>29695727.83955963</v>
      </c>
      <c r="L38" s="8"/>
      <c r="M38" s="35" t="str">
        <f t="shared" si="0"/>
        <v>20B9</v>
      </c>
      <c r="N38" s="247">
        <f t="shared" si="5"/>
        <v>1040954.6216435323</v>
      </c>
      <c r="O38" s="8"/>
      <c r="P38" s="35" t="str">
        <f t="shared" si="1"/>
        <v>20B9</v>
      </c>
      <c r="Q38" s="36">
        <f t="shared" si="11"/>
        <v>55231.26666666667</v>
      </c>
      <c r="R38" s="8"/>
      <c r="S38" s="35" t="str">
        <f t="shared" si="2"/>
        <v>20B9</v>
      </c>
      <c r="T38" s="36">
        <f t="shared" si="4"/>
        <v>1320000</v>
      </c>
    </row>
    <row r="39" spans="1:20" x14ac:dyDescent="0.25">
      <c r="A39">
        <v>16</v>
      </c>
      <c r="B39" s="239" t="str">
        <f>'Example 4 Assumptions Summary'!B50</f>
        <v>7/1/20B9</v>
      </c>
      <c r="C39" s="240">
        <f t="shared" si="3"/>
        <v>2612930</v>
      </c>
      <c r="D39" s="240">
        <f t="shared" si="6"/>
        <v>2038113.2607934331</v>
      </c>
      <c r="E39" s="240">
        <f t="shared" si="7"/>
        <v>574816.73920656694</v>
      </c>
      <c r="F39" s="240">
        <f t="shared" si="8"/>
        <v>28030281.65789425</v>
      </c>
      <c r="G39" s="11"/>
      <c r="H39" s="36">
        <f t="shared" si="9"/>
        <v>2118614.4812500002</v>
      </c>
      <c r="I39" s="36">
        <f t="shared" si="12"/>
        <v>1501119.0422897392</v>
      </c>
      <c r="J39" s="36">
        <f t="shared" si="10"/>
        <v>617495.43896026094</v>
      </c>
      <c r="K39" s="32">
        <f t="shared" si="13"/>
        <v>29078232.400599368</v>
      </c>
      <c r="L39" s="8"/>
      <c r="M39" s="35" t="str">
        <f t="shared" si="0"/>
        <v>20C0</v>
      </c>
      <c r="N39" s="247">
        <f t="shared" si="5"/>
        <v>1040954.6216435323</v>
      </c>
      <c r="O39" s="8"/>
      <c r="P39" s="35" t="str">
        <f t="shared" si="1"/>
        <v>20C0</v>
      </c>
      <c r="Q39" s="36">
        <f t="shared" si="11"/>
        <v>55231.26666666667</v>
      </c>
      <c r="R39" s="8"/>
      <c r="S39" s="35" t="str">
        <f t="shared" si="2"/>
        <v>20C0</v>
      </c>
      <c r="T39" s="36">
        <f t="shared" si="4"/>
        <v>1320000</v>
      </c>
    </row>
    <row r="40" spans="1:20" x14ac:dyDescent="0.25">
      <c r="A40">
        <v>17</v>
      </c>
      <c r="B40" s="239" t="str">
        <f>'Example 4 Assumptions Summary'!B51</f>
        <v>7/1/20C0</v>
      </c>
      <c r="C40" s="240">
        <f t="shared" si="3"/>
        <v>2612930</v>
      </c>
      <c r="D40" s="240">
        <f t="shared" si="6"/>
        <v>1997157.5681249651</v>
      </c>
      <c r="E40" s="240">
        <f t="shared" si="7"/>
        <v>615772.43187503493</v>
      </c>
      <c r="F40" s="240">
        <f t="shared" si="8"/>
        <v>27414509.226019215</v>
      </c>
      <c r="G40" s="11"/>
      <c r="H40" s="36">
        <f t="shared" si="9"/>
        <v>2118614.4812500002</v>
      </c>
      <c r="I40" s="36">
        <f t="shared" si="12"/>
        <v>1469904.6478502981</v>
      </c>
      <c r="J40" s="36">
        <f t="shared" si="10"/>
        <v>648709.8333997021</v>
      </c>
      <c r="K40" s="32">
        <f t="shared" si="13"/>
        <v>28429522.567199666</v>
      </c>
      <c r="L40" s="8"/>
      <c r="M40" s="35" t="str">
        <f t="shared" si="0"/>
        <v>20C1</v>
      </c>
      <c r="N40" s="247">
        <f t="shared" si="5"/>
        <v>1040954.6216435323</v>
      </c>
      <c r="O40" s="8"/>
      <c r="P40" s="35" t="str">
        <f t="shared" si="1"/>
        <v>20C1</v>
      </c>
      <c r="Q40" s="36">
        <f t="shared" si="11"/>
        <v>55231.26666666667</v>
      </c>
      <c r="R40" s="8"/>
      <c r="S40" s="35" t="str">
        <f t="shared" si="2"/>
        <v>20C1</v>
      </c>
      <c r="T40" s="36">
        <f t="shared" si="4"/>
        <v>1320000</v>
      </c>
    </row>
    <row r="41" spans="1:20" x14ac:dyDescent="0.25">
      <c r="A41">
        <v>18</v>
      </c>
      <c r="B41" s="239" t="str">
        <f>'Example 4 Assumptions Summary'!B52</f>
        <v>7/1/20C1</v>
      </c>
      <c r="C41" s="240">
        <f t="shared" si="3"/>
        <v>2612930</v>
      </c>
      <c r="D41" s="240">
        <f t="shared" si="6"/>
        <v>1953283.7823538689</v>
      </c>
      <c r="E41" s="240">
        <f t="shared" si="7"/>
        <v>659646.21764613106</v>
      </c>
      <c r="F41" s="240">
        <f t="shared" si="8"/>
        <v>26754863.008373085</v>
      </c>
      <c r="G41" s="11"/>
      <c r="H41" s="36">
        <f t="shared" si="9"/>
        <v>2118614.4812500002</v>
      </c>
      <c r="I41" s="36">
        <f t="shared" si="12"/>
        <v>1437112.365771943</v>
      </c>
      <c r="J41" s="36">
        <f t="shared" si="10"/>
        <v>681502.11547805718</v>
      </c>
      <c r="K41" s="32">
        <f t="shared" si="13"/>
        <v>27748020.451721609</v>
      </c>
      <c r="L41" s="8"/>
      <c r="M41" s="35" t="str">
        <f t="shared" si="0"/>
        <v>20C2</v>
      </c>
      <c r="N41" s="247">
        <f t="shared" si="5"/>
        <v>1040954.6216435323</v>
      </c>
      <c r="O41" s="8"/>
      <c r="P41" s="35" t="str">
        <f t="shared" si="1"/>
        <v>20C2</v>
      </c>
      <c r="Q41" s="36">
        <f t="shared" si="11"/>
        <v>55231.26666666667</v>
      </c>
      <c r="R41" s="8"/>
      <c r="S41" s="35" t="str">
        <f t="shared" si="2"/>
        <v>20C2</v>
      </c>
      <c r="T41" s="36">
        <f t="shared" si="4"/>
        <v>1320000</v>
      </c>
    </row>
    <row r="42" spans="1:20" x14ac:dyDescent="0.25">
      <c r="A42">
        <v>19</v>
      </c>
      <c r="B42" s="239" t="str">
        <f>'Example 4 Assumptions Summary'!B53</f>
        <v>7/1/20C2</v>
      </c>
      <c r="C42" s="240">
        <f t="shared" si="3"/>
        <v>2612930</v>
      </c>
      <c r="D42" s="240">
        <f t="shared" si="6"/>
        <v>1906283.9893465822</v>
      </c>
      <c r="E42" s="240">
        <f t="shared" si="7"/>
        <v>706646.01065341779</v>
      </c>
      <c r="F42" s="240">
        <f t="shared" si="8"/>
        <v>26048216.997719668</v>
      </c>
      <c r="G42" s="11"/>
      <c r="H42" s="36">
        <f t="shared" si="9"/>
        <v>2118614.4812500002</v>
      </c>
      <c r="I42" s="36">
        <f t="shared" si="12"/>
        <v>1402662.4338345272</v>
      </c>
      <c r="J42" s="36">
        <f t="shared" si="10"/>
        <v>715952.04741547303</v>
      </c>
      <c r="K42" s="32">
        <f t="shared" si="13"/>
        <v>27032068.404306136</v>
      </c>
      <c r="L42" s="8"/>
      <c r="M42" s="35" t="str">
        <f t="shared" si="0"/>
        <v>20C3</v>
      </c>
      <c r="N42" s="247">
        <f t="shared" si="5"/>
        <v>1040954.6216435323</v>
      </c>
      <c r="O42" s="8"/>
      <c r="P42" s="35" t="str">
        <f t="shared" si="1"/>
        <v>20C3</v>
      </c>
      <c r="Q42" s="36">
        <f t="shared" si="11"/>
        <v>55231.26666666667</v>
      </c>
      <c r="R42" s="8"/>
      <c r="S42" s="35" t="str">
        <f t="shared" si="2"/>
        <v>20C3</v>
      </c>
      <c r="T42" s="36">
        <f t="shared" si="4"/>
        <v>1320000</v>
      </c>
    </row>
    <row r="43" spans="1:20" x14ac:dyDescent="0.25">
      <c r="A43">
        <v>20</v>
      </c>
      <c r="B43" s="239" t="str">
        <f>'Example 4 Assumptions Summary'!B54</f>
        <v>7/1/20C3</v>
      </c>
      <c r="C43" s="240">
        <f t="shared" si="3"/>
        <v>2612930</v>
      </c>
      <c r="D43" s="240">
        <f t="shared" si="6"/>
        <v>1855935.4610875263</v>
      </c>
      <c r="E43" s="240">
        <f t="shared" si="7"/>
        <v>756994.53891247371</v>
      </c>
      <c r="F43" s="240">
        <f t="shared" si="8"/>
        <v>25291222.458807193</v>
      </c>
      <c r="G43" s="11"/>
      <c r="H43" s="36">
        <f t="shared" si="9"/>
        <v>2118614.4812500002</v>
      </c>
      <c r="I43" s="36">
        <f t="shared" si="12"/>
        <v>1366471.0578376751</v>
      </c>
      <c r="J43" s="36">
        <f t="shared" si="10"/>
        <v>752143.42341232509</v>
      </c>
      <c r="K43" s="32">
        <f t="shared" si="13"/>
        <v>26279924.980893809</v>
      </c>
      <c r="L43" s="8"/>
      <c r="M43" s="35" t="str">
        <f t="shared" si="0"/>
        <v>20C4</v>
      </c>
      <c r="N43" s="247">
        <f t="shared" si="5"/>
        <v>1040954.6216435323</v>
      </c>
      <c r="O43" s="8"/>
      <c r="P43" s="35" t="str">
        <f t="shared" si="1"/>
        <v>20C4</v>
      </c>
      <c r="Q43" s="36">
        <f t="shared" si="11"/>
        <v>55231.26666666667</v>
      </c>
      <c r="R43" s="8"/>
      <c r="S43" s="35" t="str">
        <f t="shared" si="2"/>
        <v>20C4</v>
      </c>
      <c r="T43" s="36">
        <f t="shared" si="4"/>
        <v>1320000</v>
      </c>
    </row>
    <row r="44" spans="1:20" x14ac:dyDescent="0.25">
      <c r="A44">
        <v>21</v>
      </c>
      <c r="B44" s="239" t="str">
        <f>'Example 4 Assumptions Summary'!B55</f>
        <v>7/1/20C4</v>
      </c>
      <c r="C44" s="240">
        <f t="shared" si="3"/>
        <v>2612930</v>
      </c>
      <c r="D44" s="240">
        <f t="shared" si="6"/>
        <v>1801999.6001900123</v>
      </c>
      <c r="E44" s="240">
        <f t="shared" si="7"/>
        <v>810930.39980998775</v>
      </c>
      <c r="F44" s="240">
        <f t="shared" si="8"/>
        <v>24480292.058997206</v>
      </c>
      <c r="G44" s="11"/>
      <c r="H44" s="36">
        <f t="shared" si="9"/>
        <v>2118614.4812500002</v>
      </c>
      <c r="I44" s="36">
        <f t="shared" si="12"/>
        <v>1328450.2077841819</v>
      </c>
      <c r="J44" s="36">
        <f t="shared" si="10"/>
        <v>790164.27346581826</v>
      </c>
      <c r="K44" s="32">
        <f t="shared" si="13"/>
        <v>25489760.70742799</v>
      </c>
      <c r="L44" s="8"/>
      <c r="M44" s="35" t="str">
        <f t="shared" si="0"/>
        <v>20C5</v>
      </c>
      <c r="N44" s="247">
        <f t="shared" si="5"/>
        <v>1040954.6216435323</v>
      </c>
      <c r="O44" s="8"/>
      <c r="P44" s="35" t="str">
        <f t="shared" si="1"/>
        <v>20C5</v>
      </c>
      <c r="Q44" s="36">
        <f t="shared" si="11"/>
        <v>55231.26666666667</v>
      </c>
      <c r="R44" s="8"/>
      <c r="S44" s="35" t="str">
        <f t="shared" si="2"/>
        <v>20C5</v>
      </c>
      <c r="T44" s="36">
        <f t="shared" si="4"/>
        <v>1320000</v>
      </c>
    </row>
    <row r="45" spans="1:20" x14ac:dyDescent="0.25">
      <c r="A45">
        <v>22</v>
      </c>
      <c r="B45" s="239" t="str">
        <f>'Example 4 Assumptions Summary'!B56</f>
        <v>7/1/20C5</v>
      </c>
      <c r="C45" s="240">
        <f t="shared" si="3"/>
        <v>2612930</v>
      </c>
      <c r="D45" s="240">
        <f t="shared" si="6"/>
        <v>1744220.8092035509</v>
      </c>
      <c r="E45" s="240">
        <f t="shared" si="7"/>
        <v>868709.19079644908</v>
      </c>
      <c r="F45" s="240">
        <f t="shared" si="8"/>
        <v>23611582.868200757</v>
      </c>
      <c r="G45" s="11"/>
      <c r="H45" s="36">
        <f t="shared" si="9"/>
        <v>2118614.4812500002</v>
      </c>
      <c r="I45" s="36">
        <f t="shared" si="12"/>
        <v>1288507.4037604849</v>
      </c>
      <c r="J45" s="36">
        <f t="shared" si="10"/>
        <v>830107.0774895153</v>
      </c>
      <c r="K45" s="32">
        <f t="shared" si="13"/>
        <v>24659653.629938476</v>
      </c>
      <c r="L45" s="8"/>
      <c r="M45" s="35" t="str">
        <f t="shared" si="0"/>
        <v>20C6</v>
      </c>
      <c r="N45" s="247">
        <f t="shared" si="5"/>
        <v>1040954.6216435323</v>
      </c>
      <c r="O45" s="8"/>
      <c r="P45" s="35" t="str">
        <f t="shared" si="1"/>
        <v>20C6</v>
      </c>
      <c r="Q45" s="36">
        <f t="shared" si="11"/>
        <v>55231.26666666667</v>
      </c>
      <c r="R45" s="8"/>
      <c r="S45" s="35" t="str">
        <f t="shared" si="2"/>
        <v>20C6</v>
      </c>
      <c r="T45" s="36">
        <f t="shared" si="4"/>
        <v>1320000</v>
      </c>
    </row>
    <row r="46" spans="1:20" x14ac:dyDescent="0.25">
      <c r="A46">
        <v>23</v>
      </c>
      <c r="B46" s="239" t="str">
        <f>'Example 4 Assumptions Summary'!B57</f>
        <v>7/1/20C6</v>
      </c>
      <c r="C46" s="240">
        <f t="shared" si="3"/>
        <v>2612930</v>
      </c>
      <c r="D46" s="240">
        <f t="shared" si="6"/>
        <v>1682325.2793593039</v>
      </c>
      <c r="E46" s="240">
        <f t="shared" si="7"/>
        <v>930604.72064069612</v>
      </c>
      <c r="F46" s="240">
        <f t="shared" si="8"/>
        <v>22680978.14756006</v>
      </c>
      <c r="G46" s="11"/>
      <c r="H46" s="36">
        <f t="shared" si="9"/>
        <v>2118614.4812500002</v>
      </c>
      <c r="I46" s="36">
        <f t="shared" si="12"/>
        <v>1246545.4909933899</v>
      </c>
      <c r="J46" s="36">
        <f t="shared" si="10"/>
        <v>872068.99025661033</v>
      </c>
      <c r="K46" s="32">
        <f t="shared" si="13"/>
        <v>23787584.639681865</v>
      </c>
      <c r="L46" s="8"/>
      <c r="M46" s="35" t="str">
        <f t="shared" si="0"/>
        <v>20C7</v>
      </c>
      <c r="N46" s="247">
        <f t="shared" si="5"/>
        <v>1040954.6216435323</v>
      </c>
      <c r="O46" s="8"/>
      <c r="P46" s="35" t="str">
        <f t="shared" si="1"/>
        <v>20C7</v>
      </c>
      <c r="Q46" s="36">
        <f t="shared" si="11"/>
        <v>55231.26666666667</v>
      </c>
      <c r="R46" s="8"/>
      <c r="S46" s="35" t="str">
        <f t="shared" si="2"/>
        <v>20C7</v>
      </c>
      <c r="T46" s="36">
        <f t="shared" si="4"/>
        <v>1320000</v>
      </c>
    </row>
    <row r="47" spans="1:20" x14ac:dyDescent="0.25">
      <c r="A47">
        <v>24</v>
      </c>
      <c r="B47" s="239" t="str">
        <f>'Example 4 Assumptions Summary'!B58</f>
        <v>7/1/20C7</v>
      </c>
      <c r="C47" s="240">
        <f t="shared" si="3"/>
        <v>2612930</v>
      </c>
      <c r="D47" s="240">
        <f t="shared" si="6"/>
        <v>1616019.6930136541</v>
      </c>
      <c r="E47" s="240">
        <f t="shared" si="7"/>
        <v>996910.30698634591</v>
      </c>
      <c r="F47" s="240">
        <f t="shared" si="8"/>
        <v>21684067.840573713</v>
      </c>
      <c r="G47" s="11"/>
      <c r="H47" s="36">
        <f t="shared" si="9"/>
        <v>2118614.4812500002</v>
      </c>
      <c r="I47" s="36">
        <f t="shared" si="12"/>
        <v>1202462.4035359181</v>
      </c>
      <c r="J47" s="36">
        <f t="shared" si="10"/>
        <v>916152.07771408209</v>
      </c>
      <c r="K47" s="32">
        <f t="shared" si="13"/>
        <v>22871432.561967783</v>
      </c>
      <c r="L47" s="8"/>
      <c r="M47" s="35" t="str">
        <f t="shared" si="0"/>
        <v>20C8</v>
      </c>
      <c r="N47" s="247">
        <f t="shared" si="5"/>
        <v>1040954.6216435323</v>
      </c>
      <c r="O47" s="8"/>
      <c r="P47" s="35" t="str">
        <f t="shared" si="1"/>
        <v>20C8</v>
      </c>
      <c r="Q47" s="36">
        <f t="shared" si="11"/>
        <v>55231.26666666667</v>
      </c>
      <c r="R47" s="8"/>
      <c r="S47" s="35" t="str">
        <f t="shared" si="2"/>
        <v>20C8</v>
      </c>
      <c r="T47" s="36">
        <f t="shared" si="4"/>
        <v>1320000</v>
      </c>
    </row>
    <row r="48" spans="1:20" x14ac:dyDescent="0.25">
      <c r="A48">
        <v>25</v>
      </c>
      <c r="B48" s="239" t="str">
        <f>'Example 4 Assumptions Summary'!B59</f>
        <v>7/1/20C8</v>
      </c>
      <c r="C48" s="240">
        <f t="shared" si="3"/>
        <v>2612930</v>
      </c>
      <c r="D48" s="240">
        <f t="shared" si="6"/>
        <v>1544989.8336408769</v>
      </c>
      <c r="E48" s="240">
        <f t="shared" si="7"/>
        <v>1067940.1663591231</v>
      </c>
      <c r="F48" s="240">
        <f t="shared" si="8"/>
        <v>20616127.67421459</v>
      </c>
      <c r="G48" s="11"/>
      <c r="H48" s="36">
        <f t="shared" si="9"/>
        <v>2118614.4812500002</v>
      </c>
      <c r="I48" s="36">
        <f t="shared" si="12"/>
        <v>1156150.9160074713</v>
      </c>
      <c r="J48" s="36">
        <f t="shared" si="10"/>
        <v>962463.56524252892</v>
      </c>
      <c r="K48" s="32">
        <f t="shared" si="13"/>
        <v>21908968.996725254</v>
      </c>
      <c r="L48" s="8"/>
      <c r="M48" s="35" t="str">
        <f t="shared" si="0"/>
        <v>20C9</v>
      </c>
      <c r="N48" s="247">
        <f t="shared" si="5"/>
        <v>1040954.6216435323</v>
      </c>
      <c r="O48" s="8"/>
      <c r="P48" s="35" t="str">
        <f t="shared" si="1"/>
        <v>20C9</v>
      </c>
      <c r="Q48" s="36">
        <f t="shared" si="11"/>
        <v>55231.26666666667</v>
      </c>
      <c r="R48" s="8"/>
      <c r="S48" s="35" t="str">
        <f t="shared" si="2"/>
        <v>20C9</v>
      </c>
      <c r="T48" s="36">
        <f t="shared" si="4"/>
        <v>1320000</v>
      </c>
    </row>
    <row r="49" spans="1:20" x14ac:dyDescent="0.25">
      <c r="A49">
        <v>26</v>
      </c>
      <c r="B49" s="239" t="str">
        <f>'Example 4 Assumptions Summary'!B60</f>
        <v>7/1/20C9</v>
      </c>
      <c r="C49" s="240">
        <f t="shared" si="3"/>
        <v>2612930</v>
      </c>
      <c r="D49" s="240">
        <f t="shared" si="6"/>
        <v>1468899.0967877894</v>
      </c>
      <c r="E49" s="240">
        <f t="shared" si="7"/>
        <v>1144030.9032122106</v>
      </c>
      <c r="F49" s="240">
        <f t="shared" si="8"/>
        <v>19472096.771002378</v>
      </c>
      <c r="G49" s="11"/>
      <c r="H49" s="36">
        <f t="shared" si="9"/>
        <v>2118614.4812500002</v>
      </c>
      <c r="I49" s="36">
        <f t="shared" si="12"/>
        <v>1107498.3827844616</v>
      </c>
      <c r="J49" s="36">
        <f t="shared" si="10"/>
        <v>1011116.0984655386</v>
      </c>
      <c r="K49" s="32">
        <f t="shared" si="13"/>
        <v>20897852.898259714</v>
      </c>
      <c r="L49" s="8"/>
      <c r="M49" s="35" t="str">
        <f t="shared" si="0"/>
        <v>20D0</v>
      </c>
      <c r="N49" s="247">
        <f t="shared" si="5"/>
        <v>1040954.6216435323</v>
      </c>
      <c r="O49" s="8"/>
      <c r="P49" s="35" t="str">
        <f t="shared" si="1"/>
        <v>20D0</v>
      </c>
      <c r="Q49" s="36">
        <f t="shared" si="11"/>
        <v>55231.26666666667</v>
      </c>
      <c r="R49" s="8"/>
      <c r="S49" s="35" t="str">
        <f t="shared" si="2"/>
        <v>20D0</v>
      </c>
      <c r="T49" s="36">
        <f t="shared" si="4"/>
        <v>1320000</v>
      </c>
    </row>
    <row r="50" spans="1:20" x14ac:dyDescent="0.25">
      <c r="A50">
        <v>27</v>
      </c>
      <c r="B50" s="239" t="str">
        <f>'Example 4 Assumptions Summary'!B61</f>
        <v>7/1/20D0</v>
      </c>
      <c r="C50" s="240">
        <f t="shared" si="3"/>
        <v>2612930</v>
      </c>
      <c r="D50" s="240">
        <f t="shared" si="6"/>
        <v>1387386.8949339194</v>
      </c>
      <c r="E50" s="240">
        <f t="shared" si="7"/>
        <v>1225543.1050660806</v>
      </c>
      <c r="F50" s="240">
        <f t="shared" si="8"/>
        <v>18246553.665936299</v>
      </c>
      <c r="G50" s="11"/>
      <c r="H50" s="36">
        <f t="shared" si="9"/>
        <v>2118614.4812500002</v>
      </c>
      <c r="I50" s="36">
        <f t="shared" si="12"/>
        <v>1056386.4640070286</v>
      </c>
      <c r="J50" s="36">
        <f t="shared" si="10"/>
        <v>1062228.0172429716</v>
      </c>
      <c r="K50" s="32">
        <f t="shared" si="13"/>
        <v>19835624.881016742</v>
      </c>
      <c r="L50" s="8"/>
      <c r="M50" s="35" t="str">
        <f t="shared" si="0"/>
        <v>20D1</v>
      </c>
      <c r="N50" s="247">
        <f t="shared" si="5"/>
        <v>1040954.6216435323</v>
      </c>
      <c r="O50" s="8"/>
      <c r="P50" s="35" t="str">
        <f t="shared" si="1"/>
        <v>20D1</v>
      </c>
      <c r="Q50" s="36">
        <f t="shared" si="11"/>
        <v>55231.26666666667</v>
      </c>
      <c r="R50" s="8"/>
      <c r="S50" s="35" t="str">
        <f t="shared" si="2"/>
        <v>20D1</v>
      </c>
      <c r="T50" s="36">
        <f t="shared" si="4"/>
        <v>1320000</v>
      </c>
    </row>
    <row r="51" spans="1:20" x14ac:dyDescent="0.25">
      <c r="A51">
        <v>28</v>
      </c>
      <c r="B51" s="239" t="str">
        <f>'Example 4 Assumptions Summary'!B62</f>
        <v>7/1/20D1</v>
      </c>
      <c r="C51" s="240">
        <f t="shared" si="3"/>
        <v>2612930</v>
      </c>
      <c r="D51" s="240">
        <f t="shared" si="6"/>
        <v>1300066.9486979612</v>
      </c>
      <c r="E51" s="240">
        <f t="shared" si="7"/>
        <v>1312863.0513020388</v>
      </c>
      <c r="F51" s="240">
        <f t="shared" si="8"/>
        <v>16933690.614634261</v>
      </c>
      <c r="G51" s="11"/>
      <c r="H51" s="36">
        <f t="shared" si="9"/>
        <v>2118614.4812500002</v>
      </c>
      <c r="I51" s="36">
        <f t="shared" si="12"/>
        <v>1002690.8377353962</v>
      </c>
      <c r="J51" s="36">
        <f t="shared" si="10"/>
        <v>1115923.6435146038</v>
      </c>
      <c r="K51" s="32">
        <f t="shared" si="13"/>
        <v>18719701.237502139</v>
      </c>
      <c r="L51" s="8"/>
      <c r="M51" s="35" t="str">
        <f t="shared" si="0"/>
        <v>20D2</v>
      </c>
      <c r="N51" s="247">
        <f t="shared" si="5"/>
        <v>1040954.6216435323</v>
      </c>
      <c r="O51" s="8"/>
      <c r="P51" s="35" t="str">
        <f t="shared" si="1"/>
        <v>20D2</v>
      </c>
      <c r="Q51" s="36">
        <f t="shared" si="11"/>
        <v>55231.26666666667</v>
      </c>
      <c r="R51" s="8"/>
      <c r="S51" s="35" t="str">
        <f t="shared" si="2"/>
        <v>20D2</v>
      </c>
      <c r="T51" s="36">
        <f t="shared" si="4"/>
        <v>1320000</v>
      </c>
    </row>
    <row r="52" spans="1:20" x14ac:dyDescent="0.25">
      <c r="A52">
        <v>29</v>
      </c>
      <c r="B52" s="239" t="str">
        <f>'Example 4 Assumptions Summary'!B63</f>
        <v>7/1/20D2</v>
      </c>
      <c r="C52" s="240">
        <f t="shared" si="3"/>
        <v>2612930</v>
      </c>
      <c r="D52" s="240">
        <f t="shared" si="6"/>
        <v>1206525.4562926909</v>
      </c>
      <c r="E52" s="240">
        <f t="shared" si="7"/>
        <v>1406404.5437073091</v>
      </c>
      <c r="F52" s="240">
        <f t="shared" si="8"/>
        <v>15527286.070926951</v>
      </c>
      <c r="G52" s="11"/>
      <c r="H52" s="36">
        <f t="shared" si="9"/>
        <v>2118614.4812500002</v>
      </c>
      <c r="I52" s="36">
        <f t="shared" si="12"/>
        <v>946280.8975557331</v>
      </c>
      <c r="J52" s="36">
        <f t="shared" si="10"/>
        <v>1172333.5836942671</v>
      </c>
      <c r="K52" s="32">
        <f t="shared" si="13"/>
        <v>17547367.653807871</v>
      </c>
      <c r="L52" s="8"/>
      <c r="M52" s="35" t="str">
        <f t="shared" si="0"/>
        <v>20D3</v>
      </c>
      <c r="N52" s="247">
        <f t="shared" si="5"/>
        <v>1040954.6216435323</v>
      </c>
      <c r="O52" s="8"/>
      <c r="P52" s="35" t="str">
        <f t="shared" si="1"/>
        <v>20D3</v>
      </c>
      <c r="Q52" s="36">
        <f t="shared" si="11"/>
        <v>55231.26666666667</v>
      </c>
      <c r="R52" s="8"/>
      <c r="S52" s="35" t="str">
        <f t="shared" si="2"/>
        <v>20D3</v>
      </c>
      <c r="T52" s="36">
        <f t="shared" si="4"/>
        <v>1320000</v>
      </c>
    </row>
    <row r="53" spans="1:20" x14ac:dyDescent="0.25">
      <c r="A53">
        <v>30</v>
      </c>
      <c r="B53" s="239" t="str">
        <f>'Example 4 Assumptions Summary'!B64</f>
        <v>7/1/20D3</v>
      </c>
      <c r="C53" s="240">
        <f t="shared" si="3"/>
        <v>2612930</v>
      </c>
      <c r="D53" s="240">
        <f t="shared" si="6"/>
        <v>1106319.1325535453</v>
      </c>
      <c r="E53" s="240">
        <f t="shared" si="7"/>
        <v>1506610.8674464547</v>
      </c>
      <c r="F53" s="240">
        <f t="shared" si="8"/>
        <v>14020675.203480497</v>
      </c>
      <c r="G53" s="11"/>
      <c r="H53" s="36">
        <f t="shared" si="9"/>
        <v>2118614.4812500002</v>
      </c>
      <c r="I53" s="36">
        <f t="shared" si="12"/>
        <v>887019.43489998789</v>
      </c>
      <c r="J53" s="36">
        <f t="shared" si="10"/>
        <v>1231595.0463500123</v>
      </c>
      <c r="K53" s="32">
        <f t="shared" si="13"/>
        <v>16315772.607457859</v>
      </c>
      <c r="L53" s="8"/>
      <c r="M53" s="35" t="str">
        <f t="shared" si="0"/>
        <v>20D4</v>
      </c>
      <c r="N53" s="247">
        <f t="shared" si="5"/>
        <v>1040954.6216435323</v>
      </c>
      <c r="O53" s="8"/>
      <c r="P53" s="35" t="str">
        <f t="shared" si="1"/>
        <v>20D4</v>
      </c>
      <c r="Q53" s="36">
        <f t="shared" si="11"/>
        <v>55231.26666666667</v>
      </c>
      <c r="R53" s="8"/>
      <c r="S53" s="35" t="str">
        <f t="shared" si="2"/>
        <v>20D4</v>
      </c>
      <c r="T53" s="36">
        <f t="shared" si="4"/>
        <v>1320000</v>
      </c>
    </row>
    <row r="54" spans="1:20" x14ac:dyDescent="0.25">
      <c r="A54">
        <v>31</v>
      </c>
      <c r="B54" s="239" t="str">
        <f>'Example 4 Assumptions Summary'!B65</f>
        <v>7/1/20D4</v>
      </c>
      <c r="C54" s="240">
        <f t="shared" si="3"/>
        <v>2612930</v>
      </c>
      <c r="D54" s="240">
        <f t="shared" si="6"/>
        <v>998973.10824798536</v>
      </c>
      <c r="E54" s="240">
        <f t="shared" si="7"/>
        <v>1613956.8917520146</v>
      </c>
      <c r="F54" s="240">
        <f t="shared" si="8"/>
        <v>12406718.311728483</v>
      </c>
      <c r="G54" s="11"/>
      <c r="H54" s="36">
        <f t="shared" si="9"/>
        <v>2118614.4812500002</v>
      </c>
      <c r="I54" s="36">
        <f t="shared" si="12"/>
        <v>824762.30530699471</v>
      </c>
      <c r="J54" s="36">
        <f t="shared" si="10"/>
        <v>1293852.1759430054</v>
      </c>
      <c r="K54" s="32">
        <f t="shared" si="13"/>
        <v>15021920.431514854</v>
      </c>
      <c r="L54" s="8"/>
      <c r="M54" s="35" t="str">
        <f t="shared" si="0"/>
        <v>20D5</v>
      </c>
      <c r="N54" s="247">
        <f t="shared" si="5"/>
        <v>1040954.6216435323</v>
      </c>
      <c r="O54" s="8"/>
      <c r="P54" s="35" t="str">
        <f t="shared" si="1"/>
        <v>20D5</v>
      </c>
      <c r="Q54" s="36">
        <f t="shared" si="11"/>
        <v>55231.26666666667</v>
      </c>
      <c r="R54" s="8"/>
      <c r="S54" s="35" t="str">
        <f t="shared" si="2"/>
        <v>20D5</v>
      </c>
      <c r="T54" s="36">
        <f t="shared" si="4"/>
        <v>1320000</v>
      </c>
    </row>
    <row r="55" spans="1:20" x14ac:dyDescent="0.25">
      <c r="A55">
        <v>32</v>
      </c>
      <c r="B55" s="239" t="str">
        <f>'Example 4 Assumptions Summary'!B66</f>
        <v>7/1/20D5</v>
      </c>
      <c r="C55" s="240">
        <f t="shared" si="3"/>
        <v>2612930</v>
      </c>
      <c r="D55" s="240">
        <f t="shared" si="6"/>
        <v>883978.67971065431</v>
      </c>
      <c r="E55" s="240">
        <f t="shared" si="7"/>
        <v>1728951.3202893457</v>
      </c>
      <c r="F55" s="240">
        <f t="shared" si="8"/>
        <v>10677766.991439138</v>
      </c>
      <c r="G55" s="11"/>
      <c r="H55" s="36">
        <f t="shared" si="9"/>
        <v>2118614.4812500002</v>
      </c>
      <c r="I55" s="36">
        <f t="shared" si="12"/>
        <v>759358.07781307586</v>
      </c>
      <c r="J55" s="36">
        <f t="shared" si="10"/>
        <v>1359256.4034369243</v>
      </c>
      <c r="K55" s="32">
        <f t="shared" si="13"/>
        <v>13662664.02807793</v>
      </c>
      <c r="L55" s="8"/>
      <c r="M55" s="35" t="str">
        <f t="shared" si="0"/>
        <v>20D6</v>
      </c>
      <c r="N55" s="247">
        <f t="shared" si="5"/>
        <v>1040954.6216435323</v>
      </c>
      <c r="O55" s="8"/>
      <c r="P55" s="35" t="str">
        <f t="shared" si="1"/>
        <v>20D6</v>
      </c>
      <c r="Q55" s="36">
        <f t="shared" si="11"/>
        <v>55231.26666666667</v>
      </c>
      <c r="R55" s="8"/>
      <c r="S55" s="35" t="str">
        <f t="shared" si="2"/>
        <v>20D6</v>
      </c>
      <c r="T55" s="36">
        <f t="shared" ref="T55:T72" si="14">+$T$18/$T$19</f>
        <v>1320000</v>
      </c>
    </row>
    <row r="56" spans="1:20" x14ac:dyDescent="0.25">
      <c r="A56">
        <v>33</v>
      </c>
      <c r="B56" s="239" t="str">
        <f>'Example 4 Assumptions Summary'!B67</f>
        <v>7/1/20D6</v>
      </c>
      <c r="C56" s="240">
        <f t="shared" si="3"/>
        <v>2612930</v>
      </c>
      <c r="D56" s="240">
        <f t="shared" si="6"/>
        <v>760790.89814003848</v>
      </c>
      <c r="E56" s="240">
        <f t="shared" si="7"/>
        <v>1852139.1018599616</v>
      </c>
      <c r="F56" s="240">
        <f t="shared" si="8"/>
        <v>8825627.8895791769</v>
      </c>
      <c r="G56" s="11"/>
      <c r="H56" s="36">
        <f t="shared" si="9"/>
        <v>2118614.4812500002</v>
      </c>
      <c r="I56" s="36">
        <f t="shared" si="12"/>
        <v>690647.66661933938</v>
      </c>
      <c r="J56" s="36">
        <f t="shared" si="10"/>
        <v>1427966.8146306607</v>
      </c>
      <c r="K56" s="32">
        <f t="shared" si="13"/>
        <v>12234697.213447269</v>
      </c>
      <c r="L56" s="8"/>
      <c r="M56" s="35" t="str">
        <f t="shared" si="0"/>
        <v>20D7</v>
      </c>
      <c r="N56" s="247">
        <f t="shared" si="5"/>
        <v>1040954.6216435323</v>
      </c>
      <c r="O56" s="8"/>
      <c r="P56" s="35" t="str">
        <f t="shared" si="1"/>
        <v>20D7</v>
      </c>
      <c r="Q56" s="36">
        <f t="shared" si="11"/>
        <v>55231.26666666667</v>
      </c>
      <c r="R56" s="8"/>
      <c r="S56" s="35" t="str">
        <f t="shared" si="2"/>
        <v>20D7</v>
      </c>
      <c r="T56" s="36">
        <f t="shared" si="14"/>
        <v>1320000</v>
      </c>
    </row>
    <row r="57" spans="1:20" x14ac:dyDescent="0.25">
      <c r="A57">
        <v>34</v>
      </c>
      <c r="B57" s="239" t="str">
        <f>'Example 4 Assumptions Summary'!B68</f>
        <v>7/1/20D7</v>
      </c>
      <c r="C57" s="240">
        <f t="shared" si="3"/>
        <v>2612930</v>
      </c>
      <c r="D57" s="240">
        <f t="shared" si="6"/>
        <v>628825.98713251634</v>
      </c>
      <c r="E57" s="240">
        <f t="shared" si="7"/>
        <v>1984104.0128674838</v>
      </c>
      <c r="F57" s="240">
        <f t="shared" si="8"/>
        <v>6841523.8767116927</v>
      </c>
      <c r="G57" s="11"/>
      <c r="H57" s="36">
        <f t="shared" si="9"/>
        <v>2118614.4812500002</v>
      </c>
      <c r="I57" s="36">
        <f t="shared" si="12"/>
        <v>618463.94413975941</v>
      </c>
      <c r="J57" s="36">
        <f t="shared" si="10"/>
        <v>1500150.5371102407</v>
      </c>
      <c r="K57" s="32">
        <f t="shared" si="13"/>
        <v>10734546.676337028</v>
      </c>
      <c r="L57" s="8"/>
      <c r="M57" s="35" t="str">
        <f t="shared" si="0"/>
        <v>20D8</v>
      </c>
      <c r="N57" s="247">
        <f t="shared" si="5"/>
        <v>1040954.6216435323</v>
      </c>
      <c r="O57" s="8"/>
      <c r="P57" s="35" t="str">
        <f t="shared" si="1"/>
        <v>20D8</v>
      </c>
      <c r="Q57" s="36">
        <f t="shared" si="11"/>
        <v>55231.26666666667</v>
      </c>
      <c r="R57" s="8"/>
      <c r="S57" s="35" t="str">
        <f t="shared" si="2"/>
        <v>20D8</v>
      </c>
      <c r="T57" s="36">
        <f t="shared" si="14"/>
        <v>1320000</v>
      </c>
    </row>
    <row r="58" spans="1:20" x14ac:dyDescent="0.25">
      <c r="A58">
        <v>35</v>
      </c>
      <c r="B58" s="239" t="str">
        <f>'Example 4 Assumptions Summary'!B69</f>
        <v>7/1/20D8</v>
      </c>
      <c r="C58" s="240">
        <f t="shared" si="3"/>
        <v>2612930</v>
      </c>
      <c r="D58" s="240">
        <f t="shared" si="6"/>
        <v>487458.57621570805</v>
      </c>
      <c r="E58" s="240">
        <f t="shared" si="7"/>
        <v>2125471.4237842918</v>
      </c>
      <c r="F58" s="240">
        <f t="shared" si="8"/>
        <v>4716052.4529274013</v>
      </c>
      <c r="G58" s="11"/>
      <c r="H58" s="36">
        <f t="shared" si="9"/>
        <v>2118614.4812500002</v>
      </c>
      <c r="I58" s="36">
        <f t="shared" si="12"/>
        <v>542631.3344888367</v>
      </c>
      <c r="J58" s="36">
        <f t="shared" si="10"/>
        <v>1575983.1467611636</v>
      </c>
      <c r="K58" s="32">
        <f t="shared" si="13"/>
        <v>9158563.5295758639</v>
      </c>
      <c r="L58" s="8"/>
      <c r="M58" s="35" t="str">
        <f t="shared" si="0"/>
        <v>20D9</v>
      </c>
      <c r="N58" s="247">
        <f t="shared" si="5"/>
        <v>1040954.6216435323</v>
      </c>
      <c r="O58" s="8"/>
      <c r="P58" s="35" t="str">
        <f t="shared" si="1"/>
        <v>20D9</v>
      </c>
      <c r="Q58" s="36">
        <f t="shared" si="11"/>
        <v>55231.26666666667</v>
      </c>
      <c r="R58" s="8"/>
      <c r="S58" s="35" t="str">
        <f t="shared" si="2"/>
        <v>20D9</v>
      </c>
      <c r="T58" s="36">
        <f t="shared" si="14"/>
        <v>1320000</v>
      </c>
    </row>
    <row r="59" spans="1:20" x14ac:dyDescent="0.25">
      <c r="A59">
        <v>36</v>
      </c>
      <c r="B59" s="239" t="str">
        <f>'Example 4 Assumptions Summary'!B70</f>
        <v>7/1/20D9</v>
      </c>
      <c r="C59" s="240">
        <f t="shared" si="3"/>
        <v>2612930</v>
      </c>
      <c r="D59" s="240">
        <f t="shared" si="6"/>
        <v>336018.73727107729</v>
      </c>
      <c r="E59" s="240">
        <f t="shared" si="7"/>
        <v>2276911.2627289225</v>
      </c>
      <c r="F59" s="240">
        <f t="shared" si="8"/>
        <v>2439141.1901984788</v>
      </c>
      <c r="G59" s="11"/>
      <c r="H59" s="36">
        <f t="shared" si="9"/>
        <v>2118614.4812500002</v>
      </c>
      <c r="I59" s="36">
        <f t="shared" si="12"/>
        <v>462965.38642005989</v>
      </c>
      <c r="J59" s="36">
        <f t="shared" si="10"/>
        <v>1655649.0948299402</v>
      </c>
      <c r="K59" s="32">
        <f t="shared" si="13"/>
        <v>7502914.4347459236</v>
      </c>
      <c r="L59" s="8"/>
      <c r="M59" s="35" t="str">
        <f t="shared" si="0"/>
        <v>20E0</v>
      </c>
      <c r="N59" s="247">
        <f t="shared" si="5"/>
        <v>1040954.6216435323</v>
      </c>
      <c r="O59" s="8"/>
      <c r="P59" s="35" t="str">
        <f t="shared" si="1"/>
        <v>20E0</v>
      </c>
      <c r="Q59" s="36">
        <f t="shared" si="11"/>
        <v>55231.26666666667</v>
      </c>
      <c r="R59" s="8"/>
      <c r="S59" s="35" t="str">
        <f t="shared" si="2"/>
        <v>20E0</v>
      </c>
      <c r="T59" s="36">
        <f t="shared" si="14"/>
        <v>1320000</v>
      </c>
    </row>
    <row r="60" spans="1:20" x14ac:dyDescent="0.25">
      <c r="A60">
        <v>37</v>
      </c>
      <c r="B60" s="239" t="str">
        <f>'Example 4 Assumptions Summary'!B71</f>
        <v>7/1/20E0</v>
      </c>
      <c r="C60" s="240">
        <f t="shared" si="3"/>
        <v>2612930</v>
      </c>
      <c r="D60" s="240">
        <f t="shared" si="6"/>
        <v>173788.80980164159</v>
      </c>
      <c r="E60" s="240">
        <f t="shared" si="7"/>
        <v>2439141.1901983586</v>
      </c>
      <c r="F60" s="240">
        <f>ROUND(+F59-E60,0)</f>
        <v>0</v>
      </c>
      <c r="G60" s="11"/>
      <c r="H60" s="36">
        <f t="shared" si="9"/>
        <v>2118614.4812500002</v>
      </c>
      <c r="I60" s="36">
        <f t="shared" ref="I60:I63" si="15">+K59*$I$19</f>
        <v>379272.3246764064</v>
      </c>
      <c r="J60" s="36">
        <f t="shared" ref="J60:J63" si="16">+H60-I60</f>
        <v>1739342.1565735938</v>
      </c>
      <c r="K60" s="32">
        <f t="shared" ref="K60:K62" si="17">+K59-J60</f>
        <v>5763572.27817233</v>
      </c>
      <c r="L60" s="8"/>
      <c r="M60" s="248" t="s">
        <v>299</v>
      </c>
      <c r="N60" s="247">
        <f t="shared" si="5"/>
        <v>1040954.6216435323</v>
      </c>
      <c r="O60" s="8"/>
      <c r="P60" s="76"/>
      <c r="Q60" s="36"/>
      <c r="R60" s="8"/>
      <c r="S60" s="35" t="str">
        <f>+M60</f>
        <v>20E1</v>
      </c>
      <c r="T60" s="36">
        <f t="shared" si="14"/>
        <v>1320000</v>
      </c>
    </row>
    <row r="61" spans="1:20" x14ac:dyDescent="0.25">
      <c r="A61">
        <v>38</v>
      </c>
      <c r="B61" s="239" t="s">
        <v>376</v>
      </c>
      <c r="C61" s="240">
        <v>0</v>
      </c>
      <c r="D61" s="240">
        <f t="shared" ref="D61:D63" si="18">+F60*$D$19</f>
        <v>0</v>
      </c>
      <c r="E61" s="240">
        <f t="shared" ref="E61:E63" si="19">+C61-D61</f>
        <v>0</v>
      </c>
      <c r="F61" s="240">
        <f t="shared" ref="F61:F63" si="20">+F60-E61</f>
        <v>0</v>
      </c>
      <c r="G61" s="8"/>
      <c r="H61" s="36">
        <f t="shared" si="9"/>
        <v>2118614.4812500002</v>
      </c>
      <c r="I61" s="36">
        <f t="shared" si="15"/>
        <v>291348.57866161125</v>
      </c>
      <c r="J61" s="36">
        <f t="shared" si="16"/>
        <v>1827265.9025883889</v>
      </c>
      <c r="K61" s="32">
        <f t="shared" si="17"/>
        <v>3936306.3755839411</v>
      </c>
      <c r="L61" s="8"/>
      <c r="M61" s="35" t="str">
        <f t="shared" ref="M61" si="21">RIGHT(B62,4)</f>
        <v>20E2</v>
      </c>
      <c r="N61" s="247">
        <f t="shared" si="5"/>
        <v>1040954.6216435323</v>
      </c>
      <c r="O61" s="8"/>
      <c r="P61" s="76"/>
      <c r="Q61" s="36"/>
      <c r="R61" s="8"/>
      <c r="S61" s="248" t="s">
        <v>303</v>
      </c>
      <c r="T61" s="36">
        <f t="shared" si="14"/>
        <v>1320000</v>
      </c>
    </row>
    <row r="62" spans="1:20" x14ac:dyDescent="0.25">
      <c r="A62">
        <v>39</v>
      </c>
      <c r="B62" s="239" t="s">
        <v>377</v>
      </c>
      <c r="C62" s="240">
        <v>0</v>
      </c>
      <c r="D62" s="240">
        <f t="shared" si="18"/>
        <v>0</v>
      </c>
      <c r="E62" s="240">
        <f t="shared" si="19"/>
        <v>0</v>
      </c>
      <c r="F62" s="240">
        <f t="shared" si="20"/>
        <v>0</v>
      </c>
      <c r="G62" s="8"/>
      <c r="H62" s="36">
        <f t="shared" si="9"/>
        <v>2118614.4812500002</v>
      </c>
      <c r="I62" s="36">
        <f t="shared" si="15"/>
        <v>198980.28728576822</v>
      </c>
      <c r="J62" s="36">
        <f t="shared" si="16"/>
        <v>1919634.193964232</v>
      </c>
      <c r="K62" s="32">
        <f t="shared" si="17"/>
        <v>2016672.1816197091</v>
      </c>
      <c r="L62" s="8"/>
      <c r="M62" s="248" t="s">
        <v>304</v>
      </c>
      <c r="N62" s="247">
        <f t="shared" si="5"/>
        <v>1040954.6216435323</v>
      </c>
      <c r="O62" s="8"/>
      <c r="P62" s="76"/>
      <c r="Q62" s="76"/>
      <c r="R62" s="8"/>
      <c r="S62" s="248" t="s">
        <v>304</v>
      </c>
      <c r="T62" s="36">
        <f t="shared" si="14"/>
        <v>1320000</v>
      </c>
    </row>
    <row r="63" spans="1:20" x14ac:dyDescent="0.25">
      <c r="A63">
        <v>40</v>
      </c>
      <c r="B63" s="242" t="s">
        <v>378</v>
      </c>
      <c r="C63" s="243">
        <v>0</v>
      </c>
      <c r="D63" s="243">
        <f t="shared" si="18"/>
        <v>0</v>
      </c>
      <c r="E63" s="243">
        <f t="shared" si="19"/>
        <v>0</v>
      </c>
      <c r="F63" s="243">
        <f t="shared" si="20"/>
        <v>0</v>
      </c>
      <c r="G63" s="8"/>
      <c r="H63" s="38">
        <f>+$H$19</f>
        <v>2118614.4812500002</v>
      </c>
      <c r="I63" s="38">
        <f t="shared" si="15"/>
        <v>101942.7787808763</v>
      </c>
      <c r="J63" s="38">
        <f t="shared" si="16"/>
        <v>2016671.702469124</v>
      </c>
      <c r="K63" s="34">
        <f>ROUND(+K62-J63,0)</f>
        <v>0</v>
      </c>
      <c r="L63" s="8"/>
      <c r="M63" s="249"/>
      <c r="N63" s="38"/>
      <c r="O63" s="8"/>
      <c r="P63" s="253"/>
      <c r="Q63" s="253"/>
      <c r="R63" s="8"/>
      <c r="S63" s="248" t="s">
        <v>305</v>
      </c>
      <c r="T63" s="36">
        <f t="shared" si="14"/>
        <v>1320000</v>
      </c>
    </row>
    <row r="64" spans="1:20" x14ac:dyDescent="0.25">
      <c r="A64">
        <v>41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N64" s="8"/>
      <c r="O64" s="8"/>
      <c r="P64" s="8"/>
      <c r="Q64" s="8"/>
      <c r="R64" s="8"/>
      <c r="S64" s="248" t="s">
        <v>306</v>
      </c>
      <c r="T64" s="36">
        <f t="shared" si="14"/>
        <v>1320000</v>
      </c>
    </row>
    <row r="65" spans="1:20" x14ac:dyDescent="0.25">
      <c r="A65">
        <v>42</v>
      </c>
      <c r="B65" s="156"/>
      <c r="C65" s="8"/>
      <c r="D65" s="8"/>
      <c r="E65" s="8"/>
      <c r="F65" s="8"/>
      <c r="G65" s="8"/>
      <c r="H65" s="8"/>
      <c r="I65" s="8"/>
      <c r="J65" s="8"/>
      <c r="K65" s="8"/>
      <c r="L65" s="8"/>
      <c r="N65" s="8"/>
      <c r="O65" s="8"/>
      <c r="P65" s="8"/>
      <c r="Q65" s="8"/>
      <c r="R65" s="8"/>
      <c r="S65" s="248" t="s">
        <v>307</v>
      </c>
      <c r="T65" s="36">
        <f t="shared" si="14"/>
        <v>1320000</v>
      </c>
    </row>
    <row r="66" spans="1:20" x14ac:dyDescent="0.25">
      <c r="A66">
        <v>43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N66" s="8"/>
      <c r="O66" s="8"/>
      <c r="P66" s="8"/>
      <c r="Q66" s="8"/>
      <c r="R66" s="8"/>
      <c r="S66" s="248" t="s">
        <v>308</v>
      </c>
      <c r="T66" s="36">
        <f t="shared" si="14"/>
        <v>1320000</v>
      </c>
    </row>
    <row r="67" spans="1:20" x14ac:dyDescent="0.25">
      <c r="A67">
        <v>44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N67" s="8"/>
      <c r="O67" s="8"/>
      <c r="P67" s="8"/>
      <c r="Q67" s="8"/>
      <c r="R67" s="8"/>
      <c r="S67" s="248" t="s">
        <v>309</v>
      </c>
      <c r="T67" s="36">
        <f t="shared" si="14"/>
        <v>1320000</v>
      </c>
    </row>
    <row r="68" spans="1:20" x14ac:dyDescent="0.25">
      <c r="A68">
        <v>45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N68" s="8"/>
      <c r="O68" s="8"/>
      <c r="P68" s="8"/>
      <c r="Q68" s="8"/>
      <c r="R68" s="8"/>
      <c r="S68" s="248" t="s">
        <v>310</v>
      </c>
      <c r="T68" s="36">
        <f t="shared" si="14"/>
        <v>1320000</v>
      </c>
    </row>
    <row r="69" spans="1:20" x14ac:dyDescent="0.25">
      <c r="A69">
        <v>46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N69" s="8"/>
      <c r="O69" s="8"/>
      <c r="P69" s="8"/>
      <c r="Q69" s="8"/>
      <c r="R69" s="8"/>
      <c r="S69" s="248" t="s">
        <v>311</v>
      </c>
      <c r="T69" s="36">
        <f t="shared" si="14"/>
        <v>1320000</v>
      </c>
    </row>
    <row r="70" spans="1:20" x14ac:dyDescent="0.25">
      <c r="A70">
        <v>47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N70" s="8"/>
      <c r="O70" s="8"/>
      <c r="P70" s="8"/>
      <c r="Q70" s="8"/>
      <c r="R70" s="8"/>
      <c r="S70" s="248" t="s">
        <v>312</v>
      </c>
      <c r="T70" s="36">
        <f t="shared" si="14"/>
        <v>1320000</v>
      </c>
    </row>
    <row r="71" spans="1:20" x14ac:dyDescent="0.25">
      <c r="A71">
        <v>48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248" t="s">
        <v>313</v>
      </c>
      <c r="T71" s="36">
        <f t="shared" si="14"/>
        <v>1320000</v>
      </c>
    </row>
    <row r="72" spans="1:20" x14ac:dyDescent="0.25">
      <c r="A72">
        <v>49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254" t="s">
        <v>314</v>
      </c>
      <c r="T72" s="38">
        <f t="shared" si="14"/>
        <v>1320000</v>
      </c>
    </row>
    <row r="73" spans="1:20" x14ac:dyDescent="0.25">
      <c r="A73">
        <v>50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155"/>
      <c r="T73" s="73"/>
    </row>
    <row r="74" spans="1:20" x14ac:dyDescent="0.2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x14ac:dyDescent="0.2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x14ac:dyDescent="0.2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x14ac:dyDescent="0.2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x14ac:dyDescent="0.2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2:20" x14ac:dyDescent="0.2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2:20" x14ac:dyDescent="0.2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2:20" x14ac:dyDescent="0.2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2:20" x14ac:dyDescent="0.2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2:20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2:20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2:20" x14ac:dyDescent="0.2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2:20" x14ac:dyDescent="0.2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2:20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2:20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2:20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2:20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2:20" x14ac:dyDescent="0.2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2:20" x14ac:dyDescent="0.2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2:20" x14ac:dyDescent="0.2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2:20" x14ac:dyDescent="0.2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2:20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2:20" x14ac:dyDescent="0.2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2:20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2:20" x14ac:dyDescent="0.2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2:20" x14ac:dyDescent="0.2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2:20" x14ac:dyDescent="0.2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2:20" x14ac:dyDescent="0.2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2:20" x14ac:dyDescent="0.2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2:20" x14ac:dyDescent="0.2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2:20" x14ac:dyDescent="0.2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2:20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2:20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2:20" x14ac:dyDescent="0.2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2:20" x14ac:dyDescent="0.2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2:20" x14ac:dyDescent="0.2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2:20" x14ac:dyDescent="0.2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2:20" x14ac:dyDescent="0.2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2:20" x14ac:dyDescent="0.2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2:20" x14ac:dyDescent="0.2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2:20" x14ac:dyDescent="0.2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2:20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2:20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2:20" x14ac:dyDescent="0.2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2:20" x14ac:dyDescent="0.2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2:20" x14ac:dyDescent="0.2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2:20" x14ac:dyDescent="0.2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2:20" x14ac:dyDescent="0.2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2:20" x14ac:dyDescent="0.2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2:20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2:20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2:20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2:20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2:20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2:20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2:20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2:20" x14ac:dyDescent="0.25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2:20" x14ac:dyDescent="0.25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2:20" x14ac:dyDescent="0.2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2:20" x14ac:dyDescent="0.2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2:20" x14ac:dyDescent="0.2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2:20" x14ac:dyDescent="0.2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2:20" x14ac:dyDescent="0.2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2:20" x14ac:dyDescent="0.25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2:20" x14ac:dyDescent="0.2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2:20" x14ac:dyDescent="0.2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2:20" x14ac:dyDescent="0.2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2:20" x14ac:dyDescent="0.2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2:20" x14ac:dyDescent="0.2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2:20" x14ac:dyDescent="0.2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2:20" x14ac:dyDescent="0.2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2:20" x14ac:dyDescent="0.2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2:20" x14ac:dyDescent="0.2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2:20" x14ac:dyDescent="0.2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2:20" x14ac:dyDescent="0.2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2:20" x14ac:dyDescent="0.2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2:20" x14ac:dyDescent="0.2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2:20" x14ac:dyDescent="0.25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2:20" x14ac:dyDescent="0.25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2:20" x14ac:dyDescent="0.2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2:20" x14ac:dyDescent="0.25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2:20" x14ac:dyDescent="0.25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2:20" x14ac:dyDescent="0.25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2:20" x14ac:dyDescent="0.25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2:20" x14ac:dyDescent="0.25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2:20" x14ac:dyDescent="0.25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2:20" x14ac:dyDescent="0.2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2:20" x14ac:dyDescent="0.2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2:20" x14ac:dyDescent="0.2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2:20" x14ac:dyDescent="0.2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2:20" x14ac:dyDescent="0.2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2:20" x14ac:dyDescent="0.2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2:20" x14ac:dyDescent="0.2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2:20" x14ac:dyDescent="0.2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2:20" x14ac:dyDescent="0.2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2:20" x14ac:dyDescent="0.2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2:20" x14ac:dyDescent="0.2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2:20" x14ac:dyDescent="0.2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2:20" x14ac:dyDescent="0.2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</sheetData>
  <mergeCells count="17">
    <mergeCell ref="S15:T17"/>
    <mergeCell ref="B17:B19"/>
    <mergeCell ref="H15:K16"/>
    <mergeCell ref="M5:P5"/>
    <mergeCell ref="H5:K5"/>
    <mergeCell ref="B15:F16"/>
    <mergeCell ref="M15:N17"/>
    <mergeCell ref="P15:Q17"/>
    <mergeCell ref="C17:C18"/>
    <mergeCell ref="D17:D18"/>
    <mergeCell ref="E17:E18"/>
    <mergeCell ref="F17:F18"/>
    <mergeCell ref="H17:H18"/>
    <mergeCell ref="I17:I18"/>
    <mergeCell ref="J17:J19"/>
    <mergeCell ref="K17:K18"/>
    <mergeCell ref="B5:E5"/>
  </mergeCells>
  <pageMargins left="0.7" right="0.7" top="0.75" bottom="0.75" header="0.3" footer="0.3"/>
  <pageSetup orientation="portrait" horizontalDpi="4294967295" verticalDpi="4294967295" r:id="rId1"/>
  <ignoredErrors>
    <ignoredError sqref="M60 S61:S68 M62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6"/>
  <sheetViews>
    <sheetView zoomScale="80" zoomScaleNormal="8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J29" sqref="J29"/>
    </sheetView>
  </sheetViews>
  <sheetFormatPr defaultColWidth="9" defaultRowHeight="15" x14ac:dyDescent="0.25"/>
  <cols>
    <col min="1" max="1" width="12.140625" style="43" customWidth="1"/>
    <col min="2" max="2" width="5.42578125" style="19" customWidth="1"/>
    <col min="3" max="3" width="7.28515625" style="187" customWidth="1"/>
    <col min="4" max="4" width="42.28515625" style="187" customWidth="1"/>
    <col min="5" max="6" width="12.28515625" style="19" bestFit="1" customWidth="1"/>
    <col min="7" max="7" width="4.42578125" style="19" customWidth="1"/>
    <col min="8" max="8" width="6.42578125" style="19" customWidth="1"/>
    <col min="9" max="9" width="44" style="19" customWidth="1"/>
    <col min="10" max="11" width="12.42578125" style="19" bestFit="1" customWidth="1"/>
    <col min="12" max="12" width="4.85546875" style="3" customWidth="1"/>
    <col min="13" max="13" width="5.5703125" style="3" customWidth="1"/>
    <col min="14" max="14" width="45" style="3" customWidth="1"/>
    <col min="15" max="16" width="14.42578125" style="19" bestFit="1" customWidth="1"/>
    <col min="17" max="17" width="4.7109375" style="3" customWidth="1"/>
    <col min="18" max="18" width="5.5703125" style="3" customWidth="1"/>
    <col min="19" max="19" width="44.140625" style="3" customWidth="1"/>
    <col min="20" max="21" width="11.5703125" style="19" bestFit="1" customWidth="1"/>
    <col min="22" max="16384" width="9" style="3"/>
  </cols>
  <sheetData>
    <row r="1" spans="1:22" s="116" customFormat="1" ht="14.65" customHeight="1" x14ac:dyDescent="0.25">
      <c r="A1" s="732" t="s">
        <v>450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  <c r="Q1" s="733"/>
      <c r="R1" s="680"/>
      <c r="S1" s="680"/>
      <c r="T1" s="680"/>
      <c r="U1" s="680"/>
    </row>
    <row r="2" spans="1:22" ht="18.75" x14ac:dyDescent="0.25">
      <c r="A2" s="223" t="s">
        <v>325</v>
      </c>
      <c r="N2" s="84"/>
    </row>
    <row r="3" spans="1:22" x14ac:dyDescent="0.25">
      <c r="B3" s="17"/>
      <c r="C3" s="188"/>
      <c r="D3" s="188"/>
      <c r="E3" s="17"/>
      <c r="F3" s="17"/>
      <c r="G3" s="17"/>
      <c r="H3" s="17"/>
      <c r="I3" s="17"/>
      <c r="J3" s="17"/>
      <c r="K3" s="17"/>
      <c r="L3" s="4"/>
      <c r="M3" s="4"/>
      <c r="N3" s="4"/>
      <c r="O3" s="17"/>
      <c r="P3" s="17"/>
      <c r="Q3" s="4"/>
      <c r="R3" s="4"/>
      <c r="S3" s="4"/>
      <c r="T3" s="17"/>
      <c r="U3" s="17"/>
      <c r="V3" s="4"/>
    </row>
    <row r="4" spans="1:22" ht="15.75" customHeight="1" x14ac:dyDescent="0.25">
      <c r="B4" s="185"/>
      <c r="C4" s="833" t="s">
        <v>346</v>
      </c>
      <c r="D4" s="834"/>
      <c r="E4" s="834"/>
      <c r="F4" s="835"/>
      <c r="G4" s="185"/>
      <c r="H4" s="833" t="s">
        <v>345</v>
      </c>
      <c r="I4" s="834"/>
      <c r="J4" s="834"/>
      <c r="K4" s="835"/>
      <c r="L4" s="4"/>
      <c r="M4" s="833" t="s">
        <v>818</v>
      </c>
      <c r="N4" s="834"/>
      <c r="O4" s="834"/>
      <c r="P4" s="835"/>
      <c r="Q4" s="4"/>
      <c r="R4" s="833" t="s">
        <v>20</v>
      </c>
      <c r="S4" s="834"/>
      <c r="T4" s="834"/>
      <c r="U4" s="835"/>
      <c r="V4" s="4"/>
    </row>
    <row r="5" spans="1:22" x14ac:dyDescent="0.25">
      <c r="B5" s="18"/>
      <c r="C5" s="189"/>
      <c r="D5" s="189"/>
      <c r="E5" s="18" t="s">
        <v>0</v>
      </c>
      <c r="F5" s="18" t="s">
        <v>1</v>
      </c>
      <c r="G5" s="18"/>
      <c r="H5" s="25"/>
      <c r="I5" s="25"/>
      <c r="J5" s="18" t="s">
        <v>0</v>
      </c>
      <c r="K5" s="18" t="s">
        <v>1</v>
      </c>
      <c r="L5" s="4"/>
      <c r="M5" s="25"/>
      <c r="N5" s="25"/>
      <c r="O5" s="18" t="s">
        <v>0</v>
      </c>
      <c r="P5" s="18" t="s">
        <v>1</v>
      </c>
      <c r="Q5" s="4"/>
      <c r="R5" s="25"/>
      <c r="S5" s="25"/>
      <c r="T5" s="18" t="s">
        <v>0</v>
      </c>
      <c r="U5" s="18" t="s">
        <v>1</v>
      </c>
      <c r="V5" s="4"/>
    </row>
    <row r="6" spans="1:22" x14ac:dyDescent="0.25">
      <c r="A6" s="186" t="s">
        <v>331</v>
      </c>
      <c r="B6" s="18"/>
      <c r="C6" s="190"/>
      <c r="D6" s="190"/>
      <c r="E6" s="18"/>
      <c r="F6" s="18"/>
      <c r="G6" s="18"/>
      <c r="H6" s="18"/>
      <c r="I6" s="18"/>
      <c r="J6" s="18"/>
      <c r="K6" s="18"/>
      <c r="L6" s="4"/>
      <c r="M6" s="25"/>
      <c r="N6" s="25"/>
      <c r="O6" s="18"/>
      <c r="P6" s="18"/>
      <c r="Q6" s="4"/>
      <c r="R6" s="25"/>
      <c r="S6" s="25"/>
      <c r="T6" s="18"/>
      <c r="U6" s="18"/>
      <c r="V6" s="4"/>
    </row>
    <row r="7" spans="1:22" s="27" customFormat="1" x14ac:dyDescent="0.25">
      <c r="A7" s="43" t="s">
        <v>347</v>
      </c>
      <c r="B7" s="182"/>
      <c r="C7" s="7" t="s">
        <v>336</v>
      </c>
      <c r="D7" s="7"/>
      <c r="E7" s="182">
        <f>+'Example 4 Assumptions Summary'!D9-'Example 4 Assumptions Summary'!D10-'Example 4 Assumptions Summary'!D11-'Example 4 Assumptions Summary'!D12</f>
        <v>66000000</v>
      </c>
      <c r="F7" s="182"/>
      <c r="G7" s="182"/>
      <c r="H7" s="182"/>
      <c r="I7" s="182"/>
      <c r="J7" s="182"/>
      <c r="K7" s="182"/>
      <c r="L7" s="183"/>
      <c r="M7" s="27" t="s">
        <v>334</v>
      </c>
      <c r="O7" s="184">
        <f>+P9</f>
        <v>1000000</v>
      </c>
      <c r="P7" s="184"/>
      <c r="Q7" s="183"/>
      <c r="R7" s="7" t="str">
        <f>+C7</f>
        <v>Restricted cash</v>
      </c>
      <c r="S7" s="7"/>
      <c r="T7" s="182">
        <f>+E7</f>
        <v>66000000</v>
      </c>
      <c r="U7" s="182"/>
      <c r="V7" s="183"/>
    </row>
    <row r="8" spans="1:22" s="27" customFormat="1" x14ac:dyDescent="0.25">
      <c r="A8" s="43"/>
      <c r="C8" s="27" t="s">
        <v>413</v>
      </c>
      <c r="E8" s="182">
        <f>+'Example 4 Assumptions Summary'!D10+'Example 4 Assumptions Summary'!D12</f>
        <v>1010400</v>
      </c>
      <c r="L8" s="183"/>
      <c r="M8" s="7" t="str">
        <f>+D10</f>
        <v>Other financing source - issuance of bonds</v>
      </c>
      <c r="N8" s="7"/>
      <c r="O8" s="182">
        <f>+F10</f>
        <v>68010400</v>
      </c>
      <c r="P8" s="182"/>
      <c r="Q8" s="183"/>
      <c r="R8" s="7" t="s">
        <v>333</v>
      </c>
      <c r="S8" s="7"/>
      <c r="T8" s="182">
        <f>+E8</f>
        <v>1010400</v>
      </c>
      <c r="U8" s="182"/>
      <c r="V8" s="183"/>
    </row>
    <row r="9" spans="1:22" s="27" customFormat="1" x14ac:dyDescent="0.25">
      <c r="A9" s="43"/>
      <c r="B9" s="182"/>
      <c r="C9" s="7" t="s">
        <v>827</v>
      </c>
      <c r="D9" s="7"/>
      <c r="E9" s="182">
        <f>+'Example 4 Assumptions Summary'!D11</f>
        <v>1000000</v>
      </c>
      <c r="F9" s="182"/>
      <c r="G9" s="182"/>
      <c r="H9" s="182"/>
      <c r="I9" s="182"/>
      <c r="J9" s="182"/>
      <c r="K9" s="182"/>
      <c r="L9" s="183"/>
      <c r="M9" s="7"/>
      <c r="N9" s="7" t="str">
        <f>+C9</f>
        <v>Other financing use - discount on bonds issued</v>
      </c>
      <c r="O9" s="182"/>
      <c r="P9" s="182">
        <f>+E9</f>
        <v>1000000</v>
      </c>
      <c r="Q9" s="183"/>
      <c r="R9" s="7" t="str">
        <f>+M7</f>
        <v>Discount on bonds payable</v>
      </c>
      <c r="S9" s="7"/>
      <c r="T9" s="182">
        <f>+O7</f>
        <v>1000000</v>
      </c>
      <c r="U9" s="182"/>
      <c r="V9" s="183"/>
    </row>
    <row r="10" spans="1:22" s="27" customFormat="1" x14ac:dyDescent="0.25">
      <c r="A10" s="43"/>
      <c r="B10" s="182"/>
      <c r="C10" s="7"/>
      <c r="D10" s="7" t="s">
        <v>337</v>
      </c>
      <c r="E10" s="182"/>
      <c r="F10" s="182">
        <f>+'Example 4 Assumptions Summary'!D9</f>
        <v>68010400</v>
      </c>
      <c r="G10" s="182"/>
      <c r="H10" s="182"/>
      <c r="I10" s="182"/>
      <c r="J10" s="182"/>
      <c r="K10" s="182"/>
      <c r="L10" s="183"/>
      <c r="M10" s="7"/>
      <c r="N10" s="7" t="s">
        <v>335</v>
      </c>
      <c r="O10" s="182"/>
      <c r="P10" s="182">
        <f>+'Example 4 Assumptions Summary'!D9</f>
        <v>68010400</v>
      </c>
      <c r="Q10" s="183"/>
      <c r="R10" s="7"/>
      <c r="S10" s="7" t="str">
        <f>+N10</f>
        <v>Bonds payable</v>
      </c>
      <c r="T10" s="182"/>
      <c r="U10" s="182">
        <f>+P10</f>
        <v>68010400</v>
      </c>
      <c r="V10" s="183"/>
    </row>
    <row r="11" spans="1:22" s="27" customFormat="1" x14ac:dyDescent="0.25">
      <c r="A11" s="43"/>
      <c r="B11" s="182"/>
      <c r="C11" s="23" t="s">
        <v>339</v>
      </c>
      <c r="D11" s="7"/>
      <c r="E11" s="182"/>
      <c r="F11" s="182"/>
      <c r="G11" s="182"/>
      <c r="H11" s="182"/>
      <c r="I11" s="182"/>
      <c r="J11" s="182"/>
      <c r="K11" s="182"/>
      <c r="L11" s="183"/>
      <c r="M11" s="23" t="s">
        <v>348</v>
      </c>
      <c r="N11" s="7"/>
      <c r="O11" s="182"/>
      <c r="P11" s="182"/>
      <c r="Q11" s="183"/>
      <c r="R11" s="23" t="str">
        <f>+M11</f>
        <v xml:space="preserve">[To record issuance of bonds payable, OID and bond issuance </v>
      </c>
      <c r="S11" s="7"/>
      <c r="T11" s="182"/>
      <c r="U11" s="182"/>
      <c r="V11" s="183"/>
    </row>
    <row r="12" spans="1:22" s="27" customFormat="1" x14ac:dyDescent="0.25">
      <c r="A12" s="43"/>
      <c r="B12" s="182"/>
      <c r="C12" s="191"/>
      <c r="D12" s="191"/>
      <c r="E12" s="182"/>
      <c r="F12" s="182"/>
      <c r="G12" s="182"/>
      <c r="H12" s="182"/>
      <c r="I12" s="182"/>
      <c r="J12" s="182"/>
      <c r="K12" s="182"/>
      <c r="L12" s="183"/>
      <c r="M12" s="23" t="s">
        <v>354</v>
      </c>
      <c r="O12" s="184"/>
      <c r="P12" s="184"/>
      <c r="Q12" s="183"/>
      <c r="R12" s="23" t="str">
        <f>+M12</f>
        <v>costs]</v>
      </c>
      <c r="S12" s="7"/>
      <c r="T12" s="182"/>
      <c r="U12" s="182"/>
      <c r="V12" s="183"/>
    </row>
    <row r="13" spans="1:22" s="27" customFormat="1" x14ac:dyDescent="0.25">
      <c r="A13" s="43"/>
      <c r="B13" s="182"/>
      <c r="C13" s="191"/>
      <c r="D13" s="191"/>
      <c r="E13" s="182"/>
      <c r="F13" s="182"/>
      <c r="G13" s="182"/>
      <c r="H13" s="182"/>
      <c r="I13" s="182"/>
      <c r="J13" s="182"/>
      <c r="K13" s="182"/>
      <c r="L13" s="183"/>
      <c r="M13" s="7"/>
      <c r="N13" s="7"/>
      <c r="O13" s="182"/>
      <c r="P13" s="182"/>
      <c r="Q13" s="183"/>
      <c r="R13" s="7"/>
      <c r="S13" s="7"/>
      <c r="T13" s="182"/>
      <c r="U13" s="182"/>
      <c r="V13" s="182"/>
    </row>
    <row r="14" spans="1:22" s="27" customFormat="1" x14ac:dyDescent="0.25">
      <c r="A14" s="43"/>
      <c r="B14" s="182"/>
      <c r="C14" s="191"/>
      <c r="D14" s="191"/>
      <c r="E14" s="182"/>
      <c r="F14" s="182"/>
      <c r="G14" s="182"/>
      <c r="H14" s="182"/>
      <c r="J14" s="182"/>
      <c r="K14" s="182"/>
      <c r="L14" s="183"/>
      <c r="M14" s="7"/>
      <c r="N14" s="7"/>
      <c r="O14" s="182"/>
      <c r="P14" s="182"/>
      <c r="Q14" s="183"/>
      <c r="R14" s="7"/>
      <c r="S14" s="7"/>
      <c r="T14" s="182"/>
      <c r="U14" s="182"/>
      <c r="V14" s="182"/>
    </row>
    <row r="15" spans="1:22" s="27" customFormat="1" x14ac:dyDescent="0.25">
      <c r="A15" s="43" t="s">
        <v>340</v>
      </c>
      <c r="B15" s="182"/>
      <c r="C15" s="27" t="s">
        <v>342</v>
      </c>
      <c r="D15" s="7"/>
      <c r="E15" s="182">
        <f>+'Example 4 Assumptions Summary'!D4/3</f>
        <v>22000000</v>
      </c>
      <c r="F15" s="182"/>
      <c r="G15" s="182"/>
      <c r="H15" s="182"/>
      <c r="I15" s="27" t="s">
        <v>36</v>
      </c>
      <c r="J15" s="182"/>
      <c r="K15" s="182"/>
      <c r="L15" s="183"/>
      <c r="M15" s="7" t="s">
        <v>341</v>
      </c>
      <c r="N15" s="7"/>
      <c r="O15" s="182">
        <f>+P16</f>
        <v>22000000</v>
      </c>
      <c r="P15" s="182"/>
      <c r="Q15" s="183"/>
      <c r="R15" s="7" t="str">
        <f>+M15</f>
        <v>Construction work in progress</v>
      </c>
      <c r="S15" s="7"/>
      <c r="T15" s="182">
        <f>+O15</f>
        <v>22000000</v>
      </c>
      <c r="U15" s="182"/>
      <c r="V15" s="182"/>
    </row>
    <row r="16" spans="1:22" s="27" customFormat="1" x14ac:dyDescent="0.25">
      <c r="A16" s="43" t="s">
        <v>343</v>
      </c>
      <c r="B16" s="182"/>
      <c r="C16" s="7"/>
      <c r="D16" s="7" t="s">
        <v>336</v>
      </c>
      <c r="E16" s="182"/>
      <c r="F16" s="182">
        <f>+E15</f>
        <v>22000000</v>
      </c>
      <c r="G16" s="182"/>
      <c r="H16" s="182"/>
      <c r="I16" s="182"/>
      <c r="J16" s="182"/>
      <c r="K16" s="182"/>
      <c r="L16" s="183"/>
      <c r="M16" s="7"/>
      <c r="N16" s="7" t="str">
        <f>+C15</f>
        <v>Capital outlay - general government</v>
      </c>
      <c r="O16" s="182"/>
      <c r="P16" s="182">
        <f>+E15</f>
        <v>22000000</v>
      </c>
      <c r="Q16" s="183"/>
      <c r="R16" s="7"/>
      <c r="S16" s="7" t="str">
        <f>+D16</f>
        <v>Restricted cash</v>
      </c>
      <c r="T16" s="7"/>
      <c r="U16" s="182">
        <f>+F16</f>
        <v>22000000</v>
      </c>
      <c r="V16" s="182"/>
    </row>
    <row r="17" spans="1:22" s="27" customFormat="1" x14ac:dyDescent="0.25">
      <c r="A17" s="43"/>
      <c r="B17" s="182"/>
      <c r="C17" s="23" t="s">
        <v>828</v>
      </c>
      <c r="D17" s="7"/>
      <c r="E17" s="182"/>
      <c r="F17" s="182"/>
      <c r="G17" s="182"/>
      <c r="H17" s="182"/>
      <c r="I17" s="182"/>
      <c r="J17" s="182"/>
      <c r="K17" s="182"/>
      <c r="L17" s="183"/>
      <c r="M17" s="23" t="s">
        <v>365</v>
      </c>
      <c r="N17" s="7"/>
      <c r="O17" s="182"/>
      <c r="P17" s="182"/>
      <c r="Q17" s="183"/>
      <c r="R17" s="23" t="str">
        <f>+C17</f>
        <v xml:space="preserve">[To record expenditures for construction costs incurred </v>
      </c>
      <c r="S17" s="7"/>
      <c r="T17" s="182"/>
      <c r="U17" s="182"/>
      <c r="V17" s="182"/>
    </row>
    <row r="18" spans="1:22" s="27" customFormat="1" x14ac:dyDescent="0.25">
      <c r="A18" s="43"/>
      <c r="B18" s="182"/>
      <c r="C18" s="23" t="s">
        <v>829</v>
      </c>
      <c r="D18" s="7"/>
      <c r="E18" s="182"/>
      <c r="F18" s="182"/>
      <c r="G18" s="182"/>
      <c r="H18" s="182"/>
      <c r="I18" s="182"/>
      <c r="J18" s="182"/>
      <c r="K18" s="182"/>
      <c r="L18" s="183"/>
      <c r="M18" s="7"/>
      <c r="N18" s="7"/>
      <c r="O18" s="182"/>
      <c r="P18" s="182"/>
      <c r="Q18" s="183"/>
      <c r="R18" s="23" t="str">
        <f>+C18</f>
        <v>throughout FYE 20A1]</v>
      </c>
      <c r="S18" s="7"/>
      <c r="T18" s="182"/>
      <c r="U18" s="182"/>
      <c r="V18" s="182"/>
    </row>
    <row r="19" spans="1:22" s="27" customFormat="1" x14ac:dyDescent="0.25">
      <c r="A19" s="43"/>
      <c r="B19" s="182"/>
      <c r="C19" s="191"/>
      <c r="D19" s="191"/>
      <c r="E19" s="182"/>
      <c r="F19" s="182"/>
      <c r="G19" s="182"/>
      <c r="H19" s="182"/>
      <c r="I19" s="182"/>
      <c r="J19" s="182"/>
      <c r="K19" s="182"/>
      <c r="L19" s="183"/>
      <c r="M19" s="7"/>
      <c r="N19" s="7"/>
      <c r="O19" s="182"/>
      <c r="P19" s="184"/>
      <c r="Q19" s="183"/>
      <c r="R19" s="7"/>
      <c r="S19" s="7"/>
      <c r="U19" s="182"/>
      <c r="V19" s="182"/>
    </row>
    <row r="20" spans="1:22" s="27" customFormat="1" x14ac:dyDescent="0.25">
      <c r="A20" s="43"/>
      <c r="B20" s="182"/>
      <c r="C20" s="191"/>
      <c r="D20" s="191"/>
      <c r="E20" s="182"/>
      <c r="F20" s="182"/>
      <c r="G20" s="182"/>
      <c r="H20" s="182"/>
      <c r="I20" s="182"/>
      <c r="J20" s="182"/>
      <c r="K20" s="182"/>
      <c r="L20" s="183"/>
      <c r="M20" s="7"/>
      <c r="N20" s="7"/>
      <c r="O20" s="182"/>
      <c r="P20" s="182"/>
      <c r="Q20" s="183"/>
      <c r="R20" s="7"/>
      <c r="S20" s="7"/>
      <c r="T20" s="182"/>
      <c r="U20" s="182"/>
      <c r="V20" s="182"/>
    </row>
    <row r="21" spans="1:22" s="27" customFormat="1" x14ac:dyDescent="0.25">
      <c r="A21" s="43" t="s">
        <v>343</v>
      </c>
      <c r="B21" s="182"/>
      <c r="C21" s="191"/>
      <c r="D21" s="27" t="s">
        <v>36</v>
      </c>
      <c r="E21" s="182"/>
      <c r="F21" s="182"/>
      <c r="G21" s="182"/>
      <c r="H21" s="182"/>
      <c r="I21" s="27" t="s">
        <v>36</v>
      </c>
      <c r="J21" s="182"/>
      <c r="K21" s="182"/>
      <c r="L21" s="183"/>
      <c r="M21" s="7" t="s">
        <v>344</v>
      </c>
      <c r="N21" s="7"/>
      <c r="O21" s="182">
        <f>+P22+P23</f>
        <v>4880599</v>
      </c>
      <c r="P21" s="182"/>
      <c r="Q21" s="183"/>
      <c r="R21" s="7" t="str">
        <f t="shared" ref="R21:S25" si="0">M21</f>
        <v>Bond interest expense</v>
      </c>
      <c r="S21" s="7"/>
      <c r="T21" s="182">
        <f>O21</f>
        <v>4880599</v>
      </c>
      <c r="U21" s="182"/>
      <c r="V21" s="182"/>
    </row>
    <row r="22" spans="1:22" s="27" customFormat="1" x14ac:dyDescent="0.25">
      <c r="A22" s="43"/>
      <c r="B22" s="182"/>
      <c r="C22" s="191"/>
      <c r="D22" s="191"/>
      <c r="E22" s="182"/>
      <c r="F22" s="182"/>
      <c r="G22" s="182"/>
      <c r="H22" s="182"/>
      <c r="I22" s="182"/>
      <c r="J22" s="182"/>
      <c r="K22" s="182"/>
      <c r="L22" s="183"/>
      <c r="M22" s="7"/>
      <c r="N22" s="7" t="s">
        <v>28</v>
      </c>
      <c r="O22" s="182"/>
      <c r="P22" s="182">
        <f>ROUND(+'Example 4 Assumptions Summary'!D32,0)</f>
        <v>4845741</v>
      </c>
      <c r="Q22" s="183"/>
      <c r="R22" s="7"/>
      <c r="S22" s="7" t="str">
        <f t="shared" si="0"/>
        <v>Interest payable</v>
      </c>
      <c r="T22" s="182"/>
      <c r="U22" s="182">
        <f>P22</f>
        <v>4845741</v>
      </c>
      <c r="V22" s="183"/>
    </row>
    <row r="23" spans="1:22" s="27" customFormat="1" x14ac:dyDescent="0.25">
      <c r="A23" s="43"/>
      <c r="B23" s="182"/>
      <c r="C23" s="191"/>
      <c r="D23" s="191"/>
      <c r="E23" s="182"/>
      <c r="F23" s="182"/>
      <c r="G23" s="182"/>
      <c r="H23" s="182"/>
      <c r="I23" s="182"/>
      <c r="J23" s="182"/>
      <c r="K23" s="182"/>
      <c r="L23" s="183"/>
      <c r="M23" s="7"/>
      <c r="N23" s="3" t="s">
        <v>334</v>
      </c>
      <c r="O23" s="19"/>
      <c r="P23" s="19">
        <f>ROUND(+'Example 4 Assumptions Summary'!G32,0)</f>
        <v>34858</v>
      </c>
      <c r="Q23" s="183"/>
      <c r="R23" s="7"/>
      <c r="S23" s="7" t="str">
        <f>+N23</f>
        <v>Discount on bonds payable</v>
      </c>
      <c r="T23" s="182"/>
      <c r="U23" s="182">
        <f>+P23</f>
        <v>34858</v>
      </c>
      <c r="V23" s="183"/>
    </row>
    <row r="24" spans="1:22" s="27" customFormat="1" x14ac:dyDescent="0.25">
      <c r="A24" s="43"/>
      <c r="B24" s="182"/>
      <c r="C24" s="191"/>
      <c r="D24" s="191"/>
      <c r="E24" s="182"/>
      <c r="F24" s="182"/>
      <c r="G24" s="182"/>
      <c r="H24" s="182"/>
      <c r="I24" s="182"/>
      <c r="J24" s="182"/>
      <c r="K24" s="182"/>
      <c r="L24" s="183"/>
      <c r="M24" s="23" t="s">
        <v>352</v>
      </c>
      <c r="N24" s="7"/>
      <c r="O24" s="182"/>
      <c r="P24" s="182"/>
      <c r="Q24" s="183"/>
      <c r="R24" s="23" t="str">
        <f t="shared" si="0"/>
        <v>[To record accrual of bond interest expense and amortization</v>
      </c>
      <c r="S24" s="7"/>
      <c r="T24" s="182"/>
      <c r="U24" s="182"/>
      <c r="V24" s="183"/>
    </row>
    <row r="25" spans="1:22" s="27" customFormat="1" x14ac:dyDescent="0.25">
      <c r="A25" s="43"/>
      <c r="B25" s="182"/>
      <c r="C25" s="191"/>
      <c r="D25" s="191"/>
      <c r="E25" s="182"/>
      <c r="F25" s="182"/>
      <c r="G25" s="182"/>
      <c r="H25" s="182"/>
      <c r="I25" s="182"/>
      <c r="J25" s="182"/>
      <c r="K25" s="182"/>
      <c r="L25" s="183"/>
      <c r="M25" s="23" t="s">
        <v>353</v>
      </c>
      <c r="N25" s="7"/>
      <c r="O25" s="182"/>
      <c r="P25" s="182"/>
      <c r="Q25" s="183"/>
      <c r="R25" s="23" t="str">
        <f t="shared" si="0"/>
        <v>of discount]</v>
      </c>
      <c r="S25" s="7"/>
      <c r="T25" s="182"/>
      <c r="U25" s="182"/>
      <c r="V25" s="183"/>
    </row>
    <row r="26" spans="1:22" s="27" customFormat="1" x14ac:dyDescent="0.25">
      <c r="A26" s="43"/>
      <c r="B26" s="182"/>
      <c r="C26" s="191"/>
      <c r="D26" s="191"/>
      <c r="E26" s="182"/>
      <c r="F26" s="182"/>
      <c r="G26" s="182"/>
      <c r="H26" s="182"/>
      <c r="I26" s="182"/>
      <c r="J26" s="182"/>
      <c r="K26" s="182"/>
      <c r="L26" s="183"/>
      <c r="M26" s="23"/>
      <c r="N26" s="7"/>
      <c r="O26" s="182"/>
      <c r="P26" s="182"/>
      <c r="Q26" s="183"/>
      <c r="R26" s="23"/>
      <c r="S26" s="7"/>
      <c r="T26" s="182"/>
      <c r="U26" s="182"/>
      <c r="V26" s="183"/>
    </row>
    <row r="27" spans="1:22" s="27" customFormat="1" x14ac:dyDescent="0.25">
      <c r="A27" s="43"/>
      <c r="B27" s="182"/>
      <c r="C27" s="191"/>
      <c r="D27" s="191"/>
      <c r="E27" s="182"/>
      <c r="F27" s="182"/>
      <c r="G27" s="182"/>
      <c r="H27" s="182"/>
      <c r="I27" s="182"/>
      <c r="J27" s="182"/>
      <c r="K27" s="182"/>
      <c r="L27" s="183"/>
      <c r="M27" s="7"/>
      <c r="N27" s="7"/>
      <c r="O27" s="182"/>
      <c r="P27" s="182"/>
      <c r="Q27" s="183"/>
      <c r="R27" s="7"/>
      <c r="S27" s="7"/>
      <c r="T27" s="182"/>
      <c r="U27" s="182"/>
      <c r="V27" s="183"/>
    </row>
    <row r="28" spans="1:22" ht="14.25" customHeight="1" x14ac:dyDescent="0.25">
      <c r="A28" s="186" t="s">
        <v>332</v>
      </c>
      <c r="B28" s="3"/>
      <c r="C28" s="116"/>
      <c r="D28" s="116"/>
      <c r="E28" s="3"/>
      <c r="F28" s="3"/>
      <c r="G28" s="3"/>
      <c r="H28" s="3"/>
      <c r="I28" s="3"/>
      <c r="J28" s="3"/>
      <c r="K28" s="3"/>
      <c r="O28" s="42"/>
      <c r="P28" s="42"/>
      <c r="T28" s="6"/>
      <c r="U28" s="42"/>
      <c r="V28" s="4"/>
    </row>
    <row r="29" spans="1:22" ht="14.65" customHeight="1" x14ac:dyDescent="0.25">
      <c r="A29" s="39" t="s">
        <v>349</v>
      </c>
      <c r="B29" s="182"/>
      <c r="C29" s="3"/>
      <c r="D29" s="27" t="s">
        <v>36</v>
      </c>
      <c r="E29" s="3"/>
      <c r="F29" s="3"/>
      <c r="G29" s="6"/>
      <c r="H29" s="5" t="s">
        <v>2</v>
      </c>
      <c r="I29" s="3"/>
      <c r="J29" s="6">
        <f>ROUND(+'Ex. 4 Calcs-County'!E21,0)</f>
        <v>2612930</v>
      </c>
      <c r="K29" s="6"/>
      <c r="L29" s="4"/>
      <c r="N29" s="27" t="s">
        <v>36</v>
      </c>
      <c r="O29" s="42"/>
      <c r="P29" s="42"/>
      <c r="Q29" s="4"/>
      <c r="R29" s="5" t="str">
        <f>H29</f>
        <v>Cash</v>
      </c>
      <c r="S29" s="42"/>
      <c r="T29" s="6">
        <f>J29</f>
        <v>2612930</v>
      </c>
      <c r="U29" s="6"/>
      <c r="V29" s="4"/>
    </row>
    <row r="30" spans="1:22" ht="14.65" customHeight="1" x14ac:dyDescent="0.25">
      <c r="A30" s="39"/>
      <c r="B30" s="6"/>
      <c r="C30" s="3"/>
      <c r="D30" s="3"/>
      <c r="E30" s="3"/>
      <c r="F30" s="3"/>
      <c r="G30" s="6"/>
      <c r="H30" s="5"/>
      <c r="I30" s="5" t="s">
        <v>351</v>
      </c>
      <c r="J30" s="6"/>
      <c r="K30" s="6">
        <f>+J29</f>
        <v>2612930</v>
      </c>
      <c r="L30" s="4"/>
      <c r="O30" s="42"/>
      <c r="P30" s="42"/>
      <c r="Q30" s="4"/>
      <c r="R30" s="5"/>
      <c r="S30" s="5" t="str">
        <f>I30</f>
        <v>Unearned revenue - prepayment of lease</v>
      </c>
      <c r="T30" s="6"/>
      <c r="U30" s="6">
        <f>K30</f>
        <v>2612930</v>
      </c>
      <c r="V30" s="4"/>
    </row>
    <row r="31" spans="1:22" ht="14.65" customHeight="1" x14ac:dyDescent="0.25">
      <c r="A31" s="39"/>
      <c r="B31" s="6"/>
      <c r="C31" s="3"/>
      <c r="D31" s="3"/>
      <c r="E31" s="3"/>
      <c r="F31" s="3"/>
      <c r="G31" s="6"/>
      <c r="H31" s="192" t="s">
        <v>364</v>
      </c>
      <c r="I31" s="5"/>
      <c r="J31" s="6"/>
      <c r="K31" s="6"/>
      <c r="L31" s="4"/>
      <c r="O31" s="42"/>
      <c r="P31" s="42"/>
      <c r="Q31" s="4"/>
      <c r="R31" s="192" t="str">
        <f>$H$31</f>
        <v>[To record receipt of first annual payment from Sample City]</v>
      </c>
      <c r="S31" s="5"/>
      <c r="T31" s="6"/>
      <c r="U31" s="6"/>
      <c r="V31" s="4"/>
    </row>
    <row r="32" spans="1:22" ht="14.65" customHeight="1" x14ac:dyDescent="0.25">
      <c r="A32" s="39"/>
      <c r="B32" s="6"/>
      <c r="C32" s="5"/>
      <c r="D32" s="5"/>
      <c r="E32" s="6"/>
      <c r="F32" s="6"/>
      <c r="G32" s="6"/>
      <c r="H32" s="23"/>
      <c r="I32" s="24"/>
      <c r="J32" s="6"/>
      <c r="K32" s="6"/>
      <c r="L32" s="4"/>
      <c r="O32" s="42"/>
      <c r="P32" s="42"/>
      <c r="Q32" s="4"/>
      <c r="R32" s="5"/>
      <c r="S32" s="5"/>
      <c r="T32" s="6"/>
      <c r="U32" s="6"/>
      <c r="V32" s="4"/>
    </row>
    <row r="33" spans="1:22" ht="14.65" customHeight="1" x14ac:dyDescent="0.25">
      <c r="A33" s="39"/>
      <c r="B33" s="6"/>
      <c r="C33" s="5"/>
      <c r="D33" s="5"/>
      <c r="E33" s="6"/>
      <c r="F33" s="6"/>
      <c r="G33" s="6"/>
      <c r="H33" s="23"/>
      <c r="I33" s="24"/>
      <c r="J33" s="6"/>
      <c r="K33" s="6"/>
      <c r="L33" s="4"/>
      <c r="O33" s="42"/>
      <c r="P33" s="42"/>
      <c r="Q33" s="4"/>
      <c r="R33" s="5"/>
      <c r="S33" s="5"/>
      <c r="T33" s="6"/>
      <c r="U33" s="6"/>
      <c r="V33" s="4"/>
    </row>
    <row r="34" spans="1:22" ht="14.65" customHeight="1" x14ac:dyDescent="0.25">
      <c r="A34" s="39" t="s">
        <v>350</v>
      </c>
      <c r="B34" s="182"/>
      <c r="C34" s="191"/>
      <c r="D34" s="27" t="s">
        <v>36</v>
      </c>
      <c r="E34" s="6"/>
      <c r="F34" s="6"/>
      <c r="G34" s="6"/>
      <c r="H34" s="21" t="s">
        <v>393</v>
      </c>
      <c r="I34" s="22"/>
      <c r="J34" s="6">
        <f>ROUND(+'Example 4 Assumptions Summary'!E32,0)</f>
        <v>329859</v>
      </c>
      <c r="K34" s="6"/>
      <c r="L34" s="4"/>
      <c r="M34" s="3" t="s">
        <v>335</v>
      </c>
      <c r="O34" s="19">
        <f>+P36</f>
        <v>329859</v>
      </c>
      <c r="Q34" s="4"/>
      <c r="R34" s="7" t="str">
        <f>+M34</f>
        <v>Bonds payable</v>
      </c>
      <c r="S34" s="27"/>
      <c r="T34" s="42">
        <f>+O34</f>
        <v>329859</v>
      </c>
      <c r="U34" s="42"/>
      <c r="V34" s="4"/>
    </row>
    <row r="35" spans="1:22" ht="14.65" customHeight="1" x14ac:dyDescent="0.25">
      <c r="A35" s="39"/>
      <c r="B35" s="6"/>
      <c r="C35" s="5"/>
      <c r="D35" s="5"/>
      <c r="E35" s="6"/>
      <c r="F35" s="6"/>
      <c r="G35" s="6"/>
      <c r="H35" s="21" t="s">
        <v>394</v>
      </c>
      <c r="I35" s="22"/>
      <c r="J35" s="6">
        <f>ROUND(+'Example 4 Assumptions Summary'!D32,0)</f>
        <v>4845741</v>
      </c>
      <c r="K35" s="6"/>
      <c r="L35" s="4"/>
      <c r="M35" s="3" t="s">
        <v>28</v>
      </c>
      <c r="O35" s="19">
        <f>+P37</f>
        <v>4845741</v>
      </c>
      <c r="Q35" s="4"/>
      <c r="R35" s="7" t="str">
        <f>+M35</f>
        <v>Interest payable</v>
      </c>
      <c r="T35" s="42">
        <f>+O35</f>
        <v>4845741</v>
      </c>
      <c r="U35" s="42"/>
      <c r="V35" s="4"/>
    </row>
    <row r="36" spans="1:22" ht="14.65" customHeight="1" x14ac:dyDescent="0.25">
      <c r="A36" s="39"/>
      <c r="B36" s="6"/>
      <c r="C36" s="5"/>
      <c r="D36" s="5"/>
      <c r="E36" s="6"/>
      <c r="F36" s="6"/>
      <c r="G36" s="6"/>
      <c r="H36" s="25"/>
      <c r="I36" s="3" t="s">
        <v>2</v>
      </c>
      <c r="J36" s="6"/>
      <c r="K36" s="6">
        <f>+'Example 4 Assumptions Summary'!C32</f>
        <v>5175600</v>
      </c>
      <c r="L36" s="4"/>
      <c r="N36" s="3" t="str">
        <f>+H34</f>
        <v>Debt service - bond principal payment (gen long-term debt)</v>
      </c>
      <c r="P36" s="19">
        <f>+J34</f>
        <v>329859</v>
      </c>
      <c r="Q36" s="4"/>
      <c r="R36" s="7"/>
      <c r="S36" s="3" t="str">
        <f>+I36</f>
        <v>Cash</v>
      </c>
      <c r="T36" s="42"/>
      <c r="U36" s="42">
        <f>+K36</f>
        <v>5175600</v>
      </c>
      <c r="V36" s="4"/>
    </row>
    <row r="37" spans="1:22" ht="14.65" customHeight="1" x14ac:dyDescent="0.25">
      <c r="A37" s="39"/>
      <c r="B37" s="6"/>
      <c r="C37" s="5"/>
      <c r="D37" s="5"/>
      <c r="E37" s="6"/>
      <c r="F37" s="6"/>
      <c r="G37" s="6"/>
      <c r="H37" s="23" t="s">
        <v>355</v>
      </c>
      <c r="I37" s="24"/>
      <c r="J37" s="6"/>
      <c r="K37" s="6"/>
      <c r="L37" s="4"/>
      <c r="N37" s="3" t="str">
        <f>+H35</f>
        <v xml:space="preserve">Debt service - bond Interest </v>
      </c>
      <c r="P37" s="19">
        <f>+J35</f>
        <v>4845741</v>
      </c>
      <c r="Q37" s="4"/>
      <c r="R37" s="23" t="str">
        <f>$H$37</f>
        <v>[To record annual bond debt service payment made]</v>
      </c>
      <c r="T37" s="42"/>
      <c r="U37" s="42"/>
      <c r="V37" s="4"/>
    </row>
    <row r="38" spans="1:22" ht="14.65" customHeight="1" x14ac:dyDescent="0.25">
      <c r="A38" s="39"/>
      <c r="B38" s="6"/>
      <c r="C38" s="5"/>
      <c r="D38" s="5"/>
      <c r="E38" s="6"/>
      <c r="F38" s="6"/>
      <c r="G38" s="6"/>
      <c r="H38" s="23"/>
      <c r="I38" s="24"/>
      <c r="J38" s="6"/>
      <c r="K38" s="6"/>
      <c r="L38" s="4"/>
      <c r="M38" s="20" t="s">
        <v>366</v>
      </c>
      <c r="Q38" s="4"/>
      <c r="R38" s="23"/>
      <c r="T38" s="42"/>
      <c r="U38" s="42"/>
      <c r="V38" s="4"/>
    </row>
    <row r="41" spans="1:22" s="27" customFormat="1" x14ac:dyDescent="0.25">
      <c r="A41" s="43" t="s">
        <v>362</v>
      </c>
      <c r="B41" s="182"/>
      <c r="C41" s="27" t="s">
        <v>342</v>
      </c>
      <c r="D41" s="7"/>
      <c r="E41" s="182">
        <f>+E15</f>
        <v>22000000</v>
      </c>
      <c r="F41" s="182"/>
      <c r="G41" s="182"/>
      <c r="H41" s="182"/>
      <c r="I41" s="27" t="s">
        <v>36</v>
      </c>
      <c r="J41" s="182"/>
      <c r="K41" s="182"/>
      <c r="L41" s="183"/>
      <c r="M41" s="7" t="s">
        <v>341</v>
      </c>
      <c r="N41" s="7"/>
      <c r="O41" s="182">
        <f>+P42</f>
        <v>22000000</v>
      </c>
      <c r="P41" s="182"/>
      <c r="Q41" s="183"/>
      <c r="R41" s="7" t="str">
        <f>+M41</f>
        <v>Construction work in progress</v>
      </c>
      <c r="S41" s="7"/>
      <c r="T41" s="182">
        <f>+O41</f>
        <v>22000000</v>
      </c>
      <c r="U41" s="182"/>
      <c r="V41" s="182"/>
    </row>
    <row r="42" spans="1:22" s="27" customFormat="1" x14ac:dyDescent="0.25">
      <c r="A42" s="43" t="s">
        <v>363</v>
      </c>
      <c r="B42" s="182"/>
      <c r="C42" s="7"/>
      <c r="D42" s="7" t="s">
        <v>336</v>
      </c>
      <c r="E42" s="182"/>
      <c r="F42" s="182">
        <f>+E41</f>
        <v>22000000</v>
      </c>
      <c r="G42" s="182"/>
      <c r="H42" s="182"/>
      <c r="I42" s="182"/>
      <c r="J42" s="182"/>
      <c r="K42" s="182"/>
      <c r="L42" s="183"/>
      <c r="M42" s="7"/>
      <c r="N42" s="7" t="str">
        <f>+C41</f>
        <v>Capital outlay - general government</v>
      </c>
      <c r="O42" s="182"/>
      <c r="P42" s="182">
        <f>+E41</f>
        <v>22000000</v>
      </c>
      <c r="Q42" s="183"/>
      <c r="R42" s="7"/>
      <c r="S42" s="7" t="str">
        <f>+D42</f>
        <v>Restricted cash</v>
      </c>
      <c r="T42" s="7"/>
      <c r="U42" s="182">
        <f>+F42</f>
        <v>22000000</v>
      </c>
      <c r="V42" s="182"/>
    </row>
    <row r="43" spans="1:22" s="27" customFormat="1" x14ac:dyDescent="0.25">
      <c r="A43" s="43"/>
      <c r="B43" s="182"/>
      <c r="C43" s="23" t="s">
        <v>828</v>
      </c>
      <c r="D43" s="7"/>
      <c r="E43" s="182"/>
      <c r="F43" s="182"/>
      <c r="G43" s="182"/>
      <c r="H43" s="182"/>
      <c r="I43" s="182"/>
      <c r="J43" s="182"/>
      <c r="K43" s="182"/>
      <c r="L43" s="183"/>
      <c r="M43" s="23" t="s">
        <v>367</v>
      </c>
      <c r="N43" s="7"/>
      <c r="O43" s="182"/>
      <c r="P43" s="182"/>
      <c r="Q43" s="183"/>
      <c r="R43" s="23" t="s">
        <v>368</v>
      </c>
      <c r="S43" s="7"/>
      <c r="T43" s="182"/>
      <c r="U43" s="182"/>
      <c r="V43" s="182"/>
    </row>
    <row r="44" spans="1:22" s="27" customFormat="1" x14ac:dyDescent="0.25">
      <c r="A44" s="43"/>
      <c r="B44" s="182"/>
      <c r="C44" s="23" t="s">
        <v>830</v>
      </c>
      <c r="D44" s="7"/>
      <c r="E44" s="182"/>
      <c r="F44" s="182"/>
      <c r="G44" s="182"/>
      <c r="H44" s="182"/>
      <c r="I44" s="182"/>
      <c r="J44" s="182"/>
      <c r="K44" s="182"/>
      <c r="L44" s="183"/>
      <c r="M44" s="7"/>
      <c r="N44" s="7"/>
      <c r="O44" s="182"/>
      <c r="P44" s="182"/>
      <c r="Q44" s="183"/>
      <c r="R44" s="23" t="str">
        <f>+C44</f>
        <v>throughout FYE 20A2]</v>
      </c>
      <c r="S44" s="7"/>
      <c r="T44" s="182"/>
      <c r="U44" s="182"/>
      <c r="V44" s="182"/>
    </row>
    <row r="45" spans="1:22" ht="14.65" customHeight="1" x14ac:dyDescent="0.25">
      <c r="A45" s="39"/>
      <c r="B45" s="6"/>
      <c r="C45" s="5"/>
      <c r="D45" s="5"/>
      <c r="E45" s="6"/>
      <c r="F45" s="6"/>
      <c r="G45" s="6"/>
      <c r="H45" s="23"/>
      <c r="I45" s="24"/>
      <c r="J45" s="6"/>
      <c r="K45" s="6"/>
      <c r="L45" s="4"/>
      <c r="O45" s="42"/>
      <c r="P45" s="42"/>
      <c r="Q45" s="4"/>
      <c r="R45" s="5"/>
      <c r="S45" s="5"/>
      <c r="T45" s="6"/>
      <c r="U45" s="6"/>
      <c r="V45" s="4"/>
    </row>
    <row r="46" spans="1:22" ht="14.65" customHeight="1" x14ac:dyDescent="0.25">
      <c r="A46" s="39"/>
      <c r="B46" s="6"/>
      <c r="C46" s="5"/>
      <c r="D46" s="5"/>
      <c r="E46" s="6"/>
      <c r="F46" s="6"/>
      <c r="G46" s="6"/>
      <c r="H46" s="6"/>
      <c r="I46" s="6"/>
      <c r="J46" s="6"/>
      <c r="K46" s="6"/>
      <c r="L46" s="4"/>
      <c r="Q46" s="4"/>
      <c r="R46" s="20"/>
      <c r="T46" s="42"/>
      <c r="U46" s="42"/>
      <c r="V46" s="4"/>
    </row>
    <row r="47" spans="1:22" s="27" customFormat="1" x14ac:dyDescent="0.25">
      <c r="A47" s="43" t="s">
        <v>363</v>
      </c>
      <c r="B47" s="182"/>
      <c r="C47" s="191"/>
      <c r="D47" s="27" t="s">
        <v>36</v>
      </c>
      <c r="E47" s="182"/>
      <c r="F47" s="182"/>
      <c r="G47" s="182"/>
      <c r="H47" s="182"/>
      <c r="I47" s="27" t="s">
        <v>36</v>
      </c>
      <c r="J47" s="182"/>
      <c r="K47" s="182"/>
      <c r="L47" s="183"/>
      <c r="M47" s="7" t="s">
        <v>344</v>
      </c>
      <c r="N47" s="7"/>
      <c r="O47" s="182">
        <f>+P48+P49</f>
        <v>4856928</v>
      </c>
      <c r="P47" s="182"/>
      <c r="Q47" s="183"/>
      <c r="R47" s="7" t="str">
        <f t="shared" ref="R47" si="1">M47</f>
        <v>Bond interest expense</v>
      </c>
      <c r="S47" s="7"/>
      <c r="T47" s="182">
        <f>O47</f>
        <v>4856928</v>
      </c>
      <c r="U47" s="182"/>
      <c r="V47" s="182"/>
    </row>
    <row r="48" spans="1:22" s="27" customFormat="1" x14ac:dyDescent="0.25">
      <c r="A48" s="43"/>
      <c r="B48" s="182"/>
      <c r="C48" s="191"/>
      <c r="D48" s="191"/>
      <c r="E48" s="182"/>
      <c r="F48" s="182"/>
      <c r="G48" s="182"/>
      <c r="H48" s="182"/>
      <c r="I48" s="182"/>
      <c r="J48" s="182"/>
      <c r="K48" s="182"/>
      <c r="L48" s="183"/>
      <c r="M48" s="7"/>
      <c r="N48" s="7" t="s">
        <v>28</v>
      </c>
      <c r="O48" s="182"/>
      <c r="P48" s="182">
        <f>+'Example 4 Assumptions Summary'!D33</f>
        <v>4822239</v>
      </c>
      <c r="Q48" s="183"/>
      <c r="R48" s="7"/>
      <c r="S48" s="7" t="str">
        <f t="shared" ref="S48" si="2">N48</f>
        <v>Interest payable</v>
      </c>
      <c r="T48" s="182"/>
      <c r="U48" s="182">
        <f>P48</f>
        <v>4822239</v>
      </c>
      <c r="V48" s="183"/>
    </row>
    <row r="49" spans="1:22" x14ac:dyDescent="0.25">
      <c r="M49" s="7"/>
      <c r="N49" s="3" t="s">
        <v>334</v>
      </c>
      <c r="P49" s="19">
        <f>ROUND(+'Example 4 Assumptions Summary'!G33,0)</f>
        <v>34689</v>
      </c>
      <c r="Q49" s="183"/>
      <c r="R49" s="7"/>
      <c r="S49" s="7" t="str">
        <f>+N49</f>
        <v>Discount on bonds payable</v>
      </c>
      <c r="T49" s="182"/>
      <c r="U49" s="182">
        <f>+P49</f>
        <v>34689</v>
      </c>
    </row>
    <row r="50" spans="1:22" x14ac:dyDescent="0.25">
      <c r="M50" s="23" t="s">
        <v>831</v>
      </c>
      <c r="Q50" s="183"/>
      <c r="R50" s="23" t="str">
        <f t="shared" ref="R50:R51" si="3">M50</f>
        <v>[To record accrual of bond interest payable and amortization of</v>
      </c>
      <c r="S50" s="7"/>
      <c r="T50" s="182"/>
      <c r="U50" s="182"/>
    </row>
    <row r="51" spans="1:22" x14ac:dyDescent="0.25">
      <c r="M51" s="23" t="s">
        <v>361</v>
      </c>
      <c r="Q51" s="183"/>
      <c r="R51" s="23" t="str">
        <f t="shared" si="3"/>
        <v>discount on bond payable]</v>
      </c>
      <c r="S51" s="7"/>
      <c r="T51" s="182"/>
      <c r="U51" s="182"/>
    </row>
    <row r="52" spans="1:22" x14ac:dyDescent="0.25">
      <c r="M52" s="7"/>
      <c r="Q52" s="183"/>
      <c r="R52" s="7"/>
      <c r="S52" s="7"/>
      <c r="T52" s="182"/>
      <c r="U52" s="182"/>
    </row>
    <row r="53" spans="1:22" x14ac:dyDescent="0.25">
      <c r="M53" s="7"/>
      <c r="Q53" s="183"/>
      <c r="R53" s="7"/>
      <c r="S53" s="7"/>
      <c r="T53" s="182"/>
      <c r="U53" s="182"/>
    </row>
    <row r="54" spans="1:22" ht="14.25" customHeight="1" x14ac:dyDescent="0.25">
      <c r="A54" s="186" t="s">
        <v>356</v>
      </c>
      <c r="B54" s="3"/>
      <c r="C54" s="116"/>
      <c r="D54" s="116"/>
      <c r="E54" s="3"/>
      <c r="F54" s="3"/>
      <c r="G54" s="3"/>
      <c r="H54" s="3"/>
      <c r="I54" s="3"/>
      <c r="J54" s="3"/>
      <c r="K54" s="3"/>
      <c r="O54" s="42"/>
      <c r="P54" s="42"/>
      <c r="T54" s="6"/>
      <c r="U54" s="42"/>
      <c r="V54" s="4"/>
    </row>
    <row r="55" spans="1:22" ht="14.65" customHeight="1" x14ac:dyDescent="0.25">
      <c r="A55" s="39" t="s">
        <v>357</v>
      </c>
      <c r="B55" s="182"/>
      <c r="C55" s="3"/>
      <c r="D55" s="27" t="s">
        <v>36</v>
      </c>
      <c r="E55" s="3"/>
      <c r="F55" s="3"/>
      <c r="G55" s="6"/>
      <c r="H55" s="5" t="s">
        <v>2</v>
      </c>
      <c r="I55" s="3"/>
      <c r="J55" s="6">
        <f>ROUND(+'Ex. 4 Calcs-County'!E22,0)</f>
        <v>2612930</v>
      </c>
      <c r="K55" s="6"/>
      <c r="L55" s="4"/>
      <c r="N55" s="27" t="s">
        <v>36</v>
      </c>
      <c r="O55" s="42"/>
      <c r="P55" s="42"/>
      <c r="Q55" s="4"/>
      <c r="R55" s="5" t="str">
        <f>H55</f>
        <v>Cash</v>
      </c>
      <c r="S55" s="42"/>
      <c r="T55" s="6">
        <f>J55</f>
        <v>2612930</v>
      </c>
      <c r="U55" s="6"/>
      <c r="V55" s="4"/>
    </row>
    <row r="56" spans="1:22" ht="14.65" customHeight="1" x14ac:dyDescent="0.25">
      <c r="A56" s="39"/>
      <c r="B56" s="6"/>
      <c r="C56" s="3"/>
      <c r="D56" s="3"/>
      <c r="E56" s="3"/>
      <c r="F56" s="3"/>
      <c r="G56" s="6"/>
      <c r="H56" s="5"/>
      <c r="I56" s="5" t="s">
        <v>351</v>
      </c>
      <c r="J56" s="6"/>
      <c r="K56" s="6">
        <f>+J55</f>
        <v>2612930</v>
      </c>
      <c r="L56" s="4"/>
      <c r="O56" s="42"/>
      <c r="P56" s="42"/>
      <c r="Q56" s="4"/>
      <c r="R56" s="5"/>
      <c r="S56" s="5" t="str">
        <f>I56</f>
        <v>Unearned revenue - prepayment of lease</v>
      </c>
      <c r="T56" s="6"/>
      <c r="U56" s="6">
        <f>K56</f>
        <v>2612930</v>
      </c>
      <c r="V56" s="4"/>
    </row>
    <row r="57" spans="1:22" ht="14.65" customHeight="1" x14ac:dyDescent="0.25">
      <c r="A57" s="39"/>
      <c r="B57" s="6"/>
      <c r="C57" s="3"/>
      <c r="D57" s="3"/>
      <c r="E57" s="3"/>
      <c r="F57" s="3"/>
      <c r="G57" s="6"/>
      <c r="H57" s="192" t="s">
        <v>372</v>
      </c>
      <c r="I57" s="5"/>
      <c r="J57" s="6"/>
      <c r="K57" s="6"/>
      <c r="L57" s="4"/>
      <c r="O57" s="42"/>
      <c r="P57" s="42"/>
      <c r="Q57" s="4"/>
      <c r="R57" s="192" t="str">
        <f>H57</f>
        <v>[To record receipt of annual payment from Sample City]</v>
      </c>
      <c r="S57" s="5"/>
      <c r="T57" s="6"/>
      <c r="U57" s="6"/>
      <c r="V57" s="4"/>
    </row>
    <row r="58" spans="1:22" ht="14.65" customHeight="1" x14ac:dyDescent="0.25">
      <c r="A58" s="39"/>
      <c r="B58" s="6"/>
      <c r="C58" s="192"/>
      <c r="D58" s="5"/>
      <c r="E58" s="6"/>
      <c r="F58" s="6"/>
      <c r="G58" s="6"/>
      <c r="H58" s="23"/>
      <c r="I58" s="24"/>
      <c r="J58" s="6"/>
      <c r="K58" s="6"/>
      <c r="L58" s="4"/>
      <c r="O58" s="42"/>
      <c r="P58" s="42"/>
      <c r="Q58" s="4"/>
      <c r="R58" s="192"/>
      <c r="S58" s="5"/>
      <c r="T58" s="6"/>
      <c r="U58" s="6"/>
      <c r="V58" s="4"/>
    </row>
    <row r="59" spans="1:22" ht="14.25" customHeight="1" x14ac:dyDescent="0.25">
      <c r="A59" s="111"/>
      <c r="B59" s="3"/>
      <c r="C59" s="116"/>
      <c r="D59" s="116"/>
      <c r="E59" s="3"/>
      <c r="F59" s="3"/>
      <c r="G59" s="3"/>
      <c r="H59" s="3"/>
      <c r="I59" s="3"/>
      <c r="J59" s="3"/>
      <c r="K59" s="3"/>
      <c r="O59" s="42"/>
      <c r="P59" s="42"/>
      <c r="T59" s="6"/>
      <c r="U59" s="42"/>
      <c r="V59" s="4"/>
    </row>
    <row r="60" spans="1:22" ht="14.65" customHeight="1" x14ac:dyDescent="0.25">
      <c r="A60" s="39" t="s">
        <v>358</v>
      </c>
      <c r="B60" s="182"/>
      <c r="C60" s="191"/>
      <c r="D60" s="27" t="s">
        <v>36</v>
      </c>
      <c r="E60" s="6"/>
      <c r="F60" s="6"/>
      <c r="G60" s="6"/>
      <c r="H60" s="21" t="s">
        <v>393</v>
      </c>
      <c r="I60" s="22"/>
      <c r="J60" s="6">
        <f>ROUND(+'Example 4 Assumptions Summary'!E33,0)</f>
        <v>353361</v>
      </c>
      <c r="K60" s="6"/>
      <c r="L60" s="4"/>
      <c r="M60" s="3" t="s">
        <v>335</v>
      </c>
      <c r="O60" s="19">
        <f>+P62</f>
        <v>353361</v>
      </c>
      <c r="Q60" s="4"/>
      <c r="R60" s="7" t="str">
        <f>+M60</f>
        <v>Bonds payable</v>
      </c>
      <c r="S60" s="27"/>
      <c r="T60" s="42">
        <f>+O60</f>
        <v>353361</v>
      </c>
      <c r="U60" s="42"/>
      <c r="V60" s="4"/>
    </row>
    <row r="61" spans="1:22" ht="14.65" customHeight="1" x14ac:dyDescent="0.25">
      <c r="A61" s="39"/>
      <c r="B61" s="6"/>
      <c r="C61" s="5"/>
      <c r="D61" s="5"/>
      <c r="E61" s="6"/>
      <c r="F61" s="6"/>
      <c r="G61" s="6"/>
      <c r="H61" s="21" t="s">
        <v>394</v>
      </c>
      <c r="I61" s="22"/>
      <c r="J61" s="6">
        <f>ROUND(+'Example 4 Assumptions Summary'!D33,0)</f>
        <v>4822239</v>
      </c>
      <c r="K61" s="6"/>
      <c r="L61" s="4"/>
      <c r="M61" s="3" t="s">
        <v>28</v>
      </c>
      <c r="O61" s="19">
        <f>+P63</f>
        <v>4822239</v>
      </c>
      <c r="Q61" s="4"/>
      <c r="R61" s="7" t="str">
        <f>+M61</f>
        <v>Interest payable</v>
      </c>
      <c r="T61" s="42">
        <f>+O61</f>
        <v>4822239</v>
      </c>
      <c r="U61" s="42"/>
      <c r="V61" s="4"/>
    </row>
    <row r="62" spans="1:22" ht="14.65" customHeight="1" x14ac:dyDescent="0.25">
      <c r="A62" s="39"/>
      <c r="B62" s="6"/>
      <c r="C62" s="5"/>
      <c r="D62" s="5"/>
      <c r="E62" s="6"/>
      <c r="F62" s="6"/>
      <c r="G62" s="6"/>
      <c r="H62" s="25"/>
      <c r="I62" s="3" t="s">
        <v>2</v>
      </c>
      <c r="J62" s="6"/>
      <c r="K62" s="6">
        <f>+'Example 4 Assumptions Summary'!C33</f>
        <v>5175600</v>
      </c>
      <c r="L62" s="4"/>
      <c r="N62" s="3" t="str">
        <f>+H60</f>
        <v>Debt service - bond principal payment (gen long-term debt)</v>
      </c>
      <c r="P62" s="19">
        <f>+J60</f>
        <v>353361</v>
      </c>
      <c r="Q62" s="4"/>
      <c r="R62" s="7"/>
      <c r="S62" s="3" t="str">
        <f>+I62</f>
        <v>Cash</v>
      </c>
      <c r="T62" s="42"/>
      <c r="U62" s="42">
        <f>+K62</f>
        <v>5175600</v>
      </c>
      <c r="V62" s="4"/>
    </row>
    <row r="63" spans="1:22" ht="14.65" customHeight="1" x14ac:dyDescent="0.25">
      <c r="A63" s="39"/>
      <c r="B63" s="6"/>
      <c r="C63" s="5"/>
      <c r="D63" s="5"/>
      <c r="E63" s="6"/>
      <c r="F63" s="6"/>
      <c r="G63" s="6"/>
      <c r="H63" s="23" t="s">
        <v>355</v>
      </c>
      <c r="I63" s="24"/>
      <c r="J63" s="6"/>
      <c r="K63" s="6"/>
      <c r="L63" s="4"/>
      <c r="N63" s="3" t="str">
        <f>+H61</f>
        <v xml:space="preserve">Debt service - bond Interest </v>
      </c>
      <c r="P63" s="19">
        <f>+J61</f>
        <v>4822239</v>
      </c>
      <c r="Q63" s="4"/>
      <c r="R63" s="23" t="str">
        <f>$H$37</f>
        <v>[To record annual bond debt service payment made]</v>
      </c>
      <c r="T63" s="42"/>
      <c r="U63" s="42"/>
      <c r="V63" s="4"/>
    </row>
    <row r="64" spans="1:22" ht="14.65" customHeight="1" x14ac:dyDescent="0.25">
      <c r="A64" s="39"/>
      <c r="B64" s="6"/>
      <c r="C64" s="5"/>
      <c r="D64" s="5"/>
      <c r="E64" s="6"/>
      <c r="F64" s="6"/>
      <c r="G64" s="6"/>
      <c r="H64" s="3"/>
      <c r="I64" s="3"/>
      <c r="J64" s="3"/>
      <c r="K64" s="3"/>
      <c r="L64" s="4"/>
      <c r="O64" s="42"/>
      <c r="P64" s="42"/>
      <c r="Q64" s="4"/>
      <c r="R64" s="23"/>
      <c r="T64" s="3"/>
      <c r="U64" s="3"/>
      <c r="V64" s="4"/>
    </row>
    <row r="66" spans="1:22" s="27" customFormat="1" x14ac:dyDescent="0.25">
      <c r="A66" s="43" t="s">
        <v>362</v>
      </c>
      <c r="B66" s="182"/>
      <c r="C66" s="27" t="s">
        <v>342</v>
      </c>
      <c r="D66" s="7"/>
      <c r="E66" s="182">
        <f>+E41</f>
        <v>22000000</v>
      </c>
      <c r="F66" s="182"/>
      <c r="G66" s="182"/>
      <c r="H66" s="182"/>
      <c r="I66" s="27" t="s">
        <v>36</v>
      </c>
      <c r="J66" s="182"/>
      <c r="K66" s="182"/>
      <c r="L66" s="183"/>
      <c r="M66" s="7" t="s">
        <v>341</v>
      </c>
      <c r="N66" s="7"/>
      <c r="O66" s="182">
        <f>+P67</f>
        <v>22000000</v>
      </c>
      <c r="P66" s="182"/>
      <c r="Q66" s="183"/>
      <c r="R66" s="7" t="str">
        <f>+M66</f>
        <v>Construction work in progress</v>
      </c>
      <c r="S66" s="7"/>
      <c r="T66" s="182">
        <f>+O66</f>
        <v>22000000</v>
      </c>
      <c r="U66" s="182"/>
      <c r="V66" s="182"/>
    </row>
    <row r="67" spans="1:22" s="27" customFormat="1" x14ac:dyDescent="0.25">
      <c r="A67" s="43" t="s">
        <v>363</v>
      </c>
      <c r="B67" s="182"/>
      <c r="C67" s="7"/>
      <c r="D67" s="7" t="s">
        <v>336</v>
      </c>
      <c r="E67" s="182"/>
      <c r="F67" s="182">
        <f>+E66</f>
        <v>22000000</v>
      </c>
      <c r="G67" s="182"/>
      <c r="H67" s="182"/>
      <c r="I67" s="182"/>
      <c r="J67" s="182"/>
      <c r="K67" s="182"/>
      <c r="L67" s="183"/>
      <c r="M67" s="7"/>
      <c r="N67" s="7" t="str">
        <f>+C66</f>
        <v>Capital outlay - general government</v>
      </c>
      <c r="O67" s="182"/>
      <c r="P67" s="182">
        <f>+E66</f>
        <v>22000000</v>
      </c>
      <c r="Q67" s="183"/>
      <c r="R67" s="7"/>
      <c r="S67" s="7" t="str">
        <f>+D67</f>
        <v>Restricted cash</v>
      </c>
      <c r="T67" s="7"/>
      <c r="U67" s="182">
        <f>+F67</f>
        <v>22000000</v>
      </c>
      <c r="V67" s="182"/>
    </row>
    <row r="68" spans="1:22" s="27" customFormat="1" x14ac:dyDescent="0.25">
      <c r="A68" s="43"/>
      <c r="B68" s="182"/>
      <c r="C68" s="23" t="s">
        <v>828</v>
      </c>
      <c r="D68" s="7"/>
      <c r="E68" s="182"/>
      <c r="F68" s="182"/>
      <c r="G68" s="182"/>
      <c r="H68" s="182"/>
      <c r="I68" s="182"/>
      <c r="J68" s="182"/>
      <c r="K68" s="182"/>
      <c r="L68" s="183"/>
      <c r="M68" s="23" t="s">
        <v>367</v>
      </c>
      <c r="N68" s="7"/>
      <c r="O68" s="182"/>
      <c r="P68" s="182"/>
      <c r="Q68" s="183"/>
      <c r="R68" s="23" t="s">
        <v>368</v>
      </c>
      <c r="S68" s="7"/>
      <c r="T68" s="182"/>
      <c r="U68" s="182"/>
      <c r="V68" s="182"/>
    </row>
    <row r="69" spans="1:22" s="27" customFormat="1" x14ac:dyDescent="0.25">
      <c r="A69" s="43"/>
      <c r="B69" s="182"/>
      <c r="C69" s="23" t="s">
        <v>832</v>
      </c>
      <c r="D69" s="7"/>
      <c r="E69" s="182"/>
      <c r="F69" s="182"/>
      <c r="G69" s="182"/>
      <c r="H69" s="182"/>
      <c r="I69" s="182"/>
      <c r="J69" s="182"/>
      <c r="K69" s="182"/>
      <c r="L69" s="183"/>
      <c r="M69" s="7"/>
      <c r="N69" s="7"/>
      <c r="O69" s="182"/>
      <c r="P69" s="182"/>
      <c r="Q69" s="183"/>
      <c r="R69" s="23" t="str">
        <f>+C69</f>
        <v>throughout FYE 20A3]</v>
      </c>
      <c r="S69" s="7"/>
      <c r="T69" s="182"/>
      <c r="U69" s="182"/>
      <c r="V69" s="182"/>
    </row>
    <row r="70" spans="1:22" ht="14.65" customHeight="1" x14ac:dyDescent="0.25">
      <c r="A70" s="39"/>
      <c r="B70" s="6"/>
      <c r="C70" s="5"/>
      <c r="D70" s="5"/>
      <c r="E70" s="6"/>
      <c r="F70" s="6"/>
      <c r="G70" s="6"/>
      <c r="H70" s="23"/>
      <c r="I70" s="24"/>
      <c r="J70" s="6"/>
      <c r="K70" s="6"/>
      <c r="L70" s="4"/>
      <c r="Q70" s="4"/>
      <c r="R70" s="23"/>
      <c r="T70" s="42"/>
      <c r="U70" s="42"/>
      <c r="V70" s="4"/>
    </row>
    <row r="71" spans="1:22" ht="14.65" customHeight="1" x14ac:dyDescent="0.25">
      <c r="A71" s="39"/>
      <c r="B71" s="6"/>
      <c r="C71" s="5"/>
      <c r="D71" s="5"/>
      <c r="E71" s="6"/>
      <c r="F71" s="6"/>
      <c r="G71" s="6"/>
      <c r="H71" s="6"/>
      <c r="I71" s="6"/>
      <c r="J71" s="6"/>
      <c r="K71" s="6"/>
      <c r="L71" s="4"/>
      <c r="Q71" s="4"/>
      <c r="R71" s="20"/>
      <c r="T71" s="42"/>
      <c r="U71" s="42"/>
      <c r="V71" s="4"/>
    </row>
    <row r="72" spans="1:22" s="27" customFormat="1" x14ac:dyDescent="0.25">
      <c r="A72" s="43" t="s">
        <v>359</v>
      </c>
      <c r="B72" s="182"/>
      <c r="C72" s="191"/>
      <c r="D72" s="27" t="s">
        <v>36</v>
      </c>
      <c r="E72" s="182"/>
      <c r="F72" s="182"/>
      <c r="G72" s="182"/>
      <c r="H72" s="182"/>
      <c r="I72" s="27" t="s">
        <v>36</v>
      </c>
      <c r="J72" s="182"/>
      <c r="K72" s="182"/>
      <c r="L72" s="183"/>
      <c r="M72" s="7" t="s">
        <v>344</v>
      </c>
      <c r="N72" s="7"/>
      <c r="O72" s="182">
        <f>+P73+P74</f>
        <v>4831570</v>
      </c>
      <c r="P72" s="182"/>
      <c r="Q72" s="183"/>
      <c r="R72" s="7" t="str">
        <f t="shared" ref="R72" si="4">M72</f>
        <v>Bond interest expense</v>
      </c>
      <c r="S72" s="7"/>
      <c r="T72" s="182">
        <f>O72</f>
        <v>4831570</v>
      </c>
      <c r="U72" s="182"/>
      <c r="V72" s="182"/>
    </row>
    <row r="73" spans="1:22" s="15" customFormat="1" ht="14.25" customHeight="1" x14ac:dyDescent="0.25">
      <c r="A73" s="39"/>
      <c r="B73" s="6"/>
      <c r="C73" s="5"/>
      <c r="D73" s="5"/>
      <c r="E73" s="6"/>
      <c r="F73" s="6"/>
      <c r="G73" s="6"/>
      <c r="H73" s="6"/>
      <c r="I73" s="6"/>
      <c r="J73" s="6"/>
      <c r="K73" s="6"/>
      <c r="L73" s="4"/>
      <c r="M73" s="23"/>
      <c r="N73" s="7" t="s">
        <v>28</v>
      </c>
      <c r="O73" s="182"/>
      <c r="P73" s="182">
        <f>+'Example 4 Assumptions Summary'!D34</f>
        <v>4797062</v>
      </c>
      <c r="Q73" s="183"/>
      <c r="R73" s="7"/>
      <c r="S73" s="7" t="str">
        <f t="shared" ref="S73" si="5">N73</f>
        <v>Interest payable</v>
      </c>
      <c r="T73" s="182"/>
      <c r="U73" s="182">
        <f>P73</f>
        <v>4797062</v>
      </c>
      <c r="V73" s="4"/>
    </row>
    <row r="74" spans="1:22" s="15" customFormat="1" ht="14.25" customHeight="1" x14ac:dyDescent="0.25">
      <c r="A74" s="39"/>
      <c r="B74" s="6"/>
      <c r="C74" s="5"/>
      <c r="D74" s="5"/>
      <c r="E74" s="6"/>
      <c r="F74" s="6"/>
      <c r="G74" s="6"/>
      <c r="H74" s="6"/>
      <c r="I74" s="6"/>
      <c r="J74" s="6"/>
      <c r="K74" s="6"/>
      <c r="L74" s="4"/>
      <c r="M74" s="23"/>
      <c r="N74" s="3" t="s">
        <v>334</v>
      </c>
      <c r="O74" s="19"/>
      <c r="P74" s="19">
        <f>ROUND(+'Example 4 Assumptions Summary'!G34,0)</f>
        <v>34508</v>
      </c>
      <c r="Q74" s="183"/>
      <c r="R74" s="7"/>
      <c r="S74" s="7" t="str">
        <f>+N74</f>
        <v>Discount on bonds payable</v>
      </c>
      <c r="T74" s="182"/>
      <c r="U74" s="182">
        <f>+P74</f>
        <v>34508</v>
      </c>
      <c r="V74" s="4"/>
    </row>
    <row r="75" spans="1:22" s="15" customFormat="1" ht="14.25" customHeight="1" x14ac:dyDescent="0.25">
      <c r="A75" s="39"/>
      <c r="B75" s="6"/>
      <c r="C75" s="5"/>
      <c r="D75" s="5"/>
      <c r="E75" s="6"/>
      <c r="F75" s="6"/>
      <c r="G75" s="6"/>
      <c r="H75" s="6"/>
      <c r="I75" s="6"/>
      <c r="J75" s="6"/>
      <c r="K75" s="6"/>
      <c r="L75" s="4"/>
      <c r="M75" s="23" t="s">
        <v>831</v>
      </c>
      <c r="N75" s="23"/>
      <c r="O75" s="6"/>
      <c r="P75" s="6"/>
      <c r="Q75" s="4"/>
      <c r="R75" s="22" t="str">
        <f t="shared" ref="R75:R76" si="6">M75</f>
        <v>[To record accrual of bond interest payable and amortization of</v>
      </c>
      <c r="S75" s="23"/>
      <c r="T75" s="6"/>
      <c r="U75" s="117"/>
      <c r="V75" s="4"/>
    </row>
    <row r="76" spans="1:22" s="15" customFormat="1" ht="14.65" customHeight="1" x14ac:dyDescent="0.25">
      <c r="A76" s="39"/>
      <c r="B76" s="6"/>
      <c r="C76" s="5"/>
      <c r="D76" s="5"/>
      <c r="E76" s="6"/>
      <c r="F76" s="6"/>
      <c r="G76" s="6"/>
      <c r="H76" s="6"/>
      <c r="I76" s="6"/>
      <c r="J76" s="6"/>
      <c r="K76" s="6"/>
      <c r="L76" s="4"/>
      <c r="M76" s="23" t="s">
        <v>361</v>
      </c>
      <c r="N76" s="24"/>
      <c r="O76" s="6"/>
      <c r="P76" s="6"/>
      <c r="Q76" s="4"/>
      <c r="R76" s="24" t="str">
        <f t="shared" si="6"/>
        <v>discount on bond payable]</v>
      </c>
      <c r="S76" s="24"/>
      <c r="T76" s="6"/>
      <c r="U76" s="117"/>
      <c r="V76" s="4"/>
    </row>
    <row r="77" spans="1:22" s="15" customFormat="1" ht="14.65" customHeight="1" x14ac:dyDescent="0.25">
      <c r="A77" s="39"/>
      <c r="B77" s="6"/>
      <c r="C77" s="5"/>
      <c r="D77" s="5"/>
      <c r="E77" s="6"/>
      <c r="F77" s="6"/>
      <c r="G77" s="6"/>
      <c r="H77" s="6"/>
      <c r="I77" s="6"/>
      <c r="J77" s="6"/>
      <c r="K77" s="6"/>
      <c r="L77" s="4"/>
      <c r="M77" s="23"/>
      <c r="N77" s="24"/>
      <c r="O77" s="6"/>
      <c r="P77" s="6"/>
      <c r="Q77" s="4"/>
      <c r="R77" s="24"/>
      <c r="S77" s="24"/>
      <c r="T77" s="6"/>
      <c r="U77" s="117"/>
      <c r="V77" s="4"/>
    </row>
    <row r="78" spans="1:22" s="15" customFormat="1" ht="14.65" customHeight="1" x14ac:dyDescent="0.25">
      <c r="A78" s="39"/>
      <c r="B78" s="6"/>
      <c r="C78" s="5"/>
      <c r="D78" s="5"/>
      <c r="E78" s="6"/>
      <c r="F78" s="6"/>
      <c r="G78" s="6"/>
      <c r="H78" s="6"/>
      <c r="I78" s="6"/>
      <c r="J78" s="6"/>
      <c r="K78" s="6"/>
      <c r="L78" s="4"/>
      <c r="M78" s="23"/>
      <c r="N78" s="24"/>
      <c r="O78" s="6"/>
      <c r="P78" s="6"/>
      <c r="Q78" s="4"/>
      <c r="R78" s="24"/>
      <c r="S78" s="24"/>
      <c r="T78" s="6"/>
      <c r="U78" s="117"/>
      <c r="V78" s="4"/>
    </row>
    <row r="79" spans="1:22" ht="14.25" customHeight="1" x14ac:dyDescent="0.25">
      <c r="A79" s="186" t="s">
        <v>369</v>
      </c>
      <c r="B79" s="3"/>
      <c r="C79" s="116"/>
      <c r="D79" s="116"/>
      <c r="E79" s="3"/>
      <c r="F79" s="3"/>
      <c r="G79" s="3"/>
      <c r="H79" s="3"/>
      <c r="I79" s="3"/>
      <c r="J79" s="3"/>
      <c r="K79" s="3"/>
      <c r="O79" s="42"/>
      <c r="P79" s="42"/>
      <c r="T79" s="6"/>
      <c r="U79" s="42"/>
      <c r="V79" s="4"/>
    </row>
    <row r="80" spans="1:22" ht="14.65" customHeight="1" x14ac:dyDescent="0.25">
      <c r="A80" s="39" t="s">
        <v>370</v>
      </c>
      <c r="B80" s="6"/>
      <c r="C80" s="5"/>
      <c r="D80" s="27" t="s">
        <v>36</v>
      </c>
      <c r="E80" s="6"/>
      <c r="F80" s="6"/>
      <c r="G80" s="6"/>
      <c r="H80" s="23"/>
      <c r="I80" s="27" t="s">
        <v>36</v>
      </c>
      <c r="J80" s="6"/>
      <c r="K80" s="6"/>
      <c r="L80" s="4"/>
      <c r="M80" s="3" t="s">
        <v>373</v>
      </c>
      <c r="O80" s="19">
        <f>+P81</f>
        <v>66000000</v>
      </c>
      <c r="Q80" s="4"/>
      <c r="R80" s="7" t="str">
        <f t="shared" ref="R80:U82" si="7">M80</f>
        <v>Office building</v>
      </c>
      <c r="T80" s="42">
        <f t="shared" si="7"/>
        <v>66000000</v>
      </c>
      <c r="U80" s="42"/>
      <c r="V80" s="4"/>
    </row>
    <row r="81" spans="1:22" ht="14.65" customHeight="1" x14ac:dyDescent="0.25">
      <c r="A81" s="39"/>
      <c r="B81" s="6"/>
      <c r="C81" s="5"/>
      <c r="D81" s="5"/>
      <c r="E81" s="6"/>
      <c r="F81" s="6"/>
      <c r="G81" s="6"/>
      <c r="H81" s="23"/>
      <c r="I81" s="24"/>
      <c r="J81" s="6"/>
      <c r="K81" s="6"/>
      <c r="L81" s="4"/>
      <c r="N81" s="3" t="s">
        <v>341</v>
      </c>
      <c r="P81" s="19">
        <f>+P67+P42+P16</f>
        <v>66000000</v>
      </c>
      <c r="Q81" s="4"/>
      <c r="R81" s="23"/>
      <c r="S81" s="3" t="str">
        <f t="shared" si="7"/>
        <v>Construction work in progress</v>
      </c>
      <c r="T81" s="42"/>
      <c r="U81" s="42">
        <f t="shared" si="7"/>
        <v>66000000</v>
      </c>
      <c r="V81" s="4"/>
    </row>
    <row r="82" spans="1:22" ht="14.65" customHeight="1" x14ac:dyDescent="0.25">
      <c r="A82" s="39"/>
      <c r="B82" s="6"/>
      <c r="C82" s="5"/>
      <c r="D82" s="5"/>
      <c r="E82" s="6"/>
      <c r="F82" s="6"/>
      <c r="G82" s="6"/>
      <c r="H82" s="23"/>
      <c r="I82" s="24"/>
      <c r="J82" s="6"/>
      <c r="K82" s="6"/>
      <c r="L82" s="4"/>
      <c r="M82" s="20" t="s">
        <v>374</v>
      </c>
      <c r="Q82" s="4"/>
      <c r="R82" s="23" t="str">
        <f t="shared" si="7"/>
        <v>[To record completion of new office building placed into service]</v>
      </c>
      <c r="T82" s="42"/>
      <c r="U82" s="42"/>
      <c r="V82" s="4"/>
    </row>
    <row r="83" spans="1:22" ht="14.65" customHeight="1" x14ac:dyDescent="0.25">
      <c r="A83" s="39"/>
      <c r="B83" s="6"/>
      <c r="C83" s="5"/>
      <c r="D83" s="5"/>
      <c r="E83" s="6"/>
      <c r="F83" s="6"/>
      <c r="G83" s="6"/>
      <c r="H83" s="23"/>
      <c r="I83" s="24"/>
      <c r="J83" s="6"/>
      <c r="K83" s="6"/>
      <c r="L83" s="4"/>
      <c r="M83" s="20"/>
      <c r="Q83" s="4"/>
      <c r="R83" s="23"/>
      <c r="T83" s="42"/>
      <c r="U83" s="42"/>
      <c r="V83" s="4"/>
    </row>
    <row r="84" spans="1:22" ht="14.65" customHeight="1" x14ac:dyDescent="0.25">
      <c r="A84" s="39"/>
      <c r="B84" s="6"/>
      <c r="C84" s="5"/>
      <c r="D84" s="5"/>
      <c r="E84" s="6"/>
      <c r="F84" s="6"/>
      <c r="G84" s="6"/>
      <c r="H84" s="23"/>
      <c r="I84" s="24"/>
      <c r="J84" s="6"/>
      <c r="K84" s="6"/>
      <c r="L84" s="4"/>
      <c r="M84" s="20"/>
      <c r="Q84" s="4"/>
      <c r="R84" s="23"/>
      <c r="T84" s="42"/>
      <c r="U84" s="42"/>
      <c r="V84" s="4"/>
    </row>
    <row r="85" spans="1:22" x14ac:dyDescent="0.25">
      <c r="A85" s="203" t="s">
        <v>375</v>
      </c>
      <c r="D85" s="27" t="s">
        <v>36</v>
      </c>
      <c r="H85" s="7" t="s">
        <v>2</v>
      </c>
      <c r="J85" s="19">
        <f>ROUND(+'Ex. 4 Calcs-County'!E23,0)</f>
        <v>2612930</v>
      </c>
      <c r="R85" s="3" t="str">
        <f>H85</f>
        <v>Cash</v>
      </c>
      <c r="T85" s="19">
        <f>J85</f>
        <v>2612930</v>
      </c>
    </row>
    <row r="86" spans="1:22" s="16" customFormat="1" ht="14.65" customHeight="1" x14ac:dyDescent="0.25">
      <c r="A86" s="204"/>
      <c r="B86" s="6"/>
      <c r="C86" s="5"/>
      <c r="D86" s="5"/>
      <c r="E86" s="6"/>
      <c r="F86" s="6"/>
      <c r="G86" s="6"/>
      <c r="H86" s="7" t="s">
        <v>48</v>
      </c>
      <c r="I86" s="24"/>
      <c r="J86" s="6">
        <f>ROUND(+'Ex. 4 Calcs-County'!B9,0)</f>
        <v>33799395</v>
      </c>
      <c r="K86" s="6"/>
      <c r="L86" s="4"/>
      <c r="M86" s="199"/>
      <c r="O86" s="200"/>
      <c r="P86" s="200"/>
      <c r="Q86" s="4"/>
      <c r="R86" s="7" t="str">
        <f>H86</f>
        <v>Lease receivable</v>
      </c>
      <c r="T86" s="201">
        <f>J86</f>
        <v>33799395</v>
      </c>
      <c r="U86" s="201"/>
      <c r="V86" s="4"/>
    </row>
    <row r="87" spans="1:22" s="16" customFormat="1" ht="14.65" customHeight="1" x14ac:dyDescent="0.25">
      <c r="A87" s="203"/>
      <c r="B87" s="6"/>
      <c r="C87" s="5"/>
      <c r="D87" s="5"/>
      <c r="E87" s="6"/>
      <c r="F87" s="6"/>
      <c r="G87" s="6"/>
      <c r="H87" s="7" t="s">
        <v>351</v>
      </c>
      <c r="I87" s="24"/>
      <c r="J87" s="6">
        <f>+K56+K30</f>
        <v>5225860</v>
      </c>
      <c r="K87" s="6"/>
      <c r="L87" s="4"/>
      <c r="M87" s="199"/>
      <c r="O87" s="200"/>
      <c r="P87" s="200"/>
      <c r="Q87" s="4"/>
      <c r="R87" s="7" t="str">
        <f>H87</f>
        <v>Unearned revenue - prepayment of lease</v>
      </c>
      <c r="T87" s="201">
        <f>J87</f>
        <v>5225860</v>
      </c>
      <c r="U87" s="201"/>
      <c r="V87" s="4"/>
    </row>
    <row r="88" spans="1:22" s="16" customFormat="1" ht="14.65" customHeight="1" x14ac:dyDescent="0.25">
      <c r="A88" s="203"/>
      <c r="B88" s="6"/>
      <c r="C88" s="5"/>
      <c r="D88" s="5"/>
      <c r="E88" s="6"/>
      <c r="F88" s="6"/>
      <c r="G88" s="6"/>
      <c r="H88" s="23"/>
      <c r="I88" s="24" t="s">
        <v>833</v>
      </c>
      <c r="J88" s="6"/>
      <c r="K88" s="6">
        <f>ROUND(+'Ex. 4 Calcs-County'!M8,0)</f>
        <v>41638185</v>
      </c>
      <c r="L88" s="4"/>
      <c r="O88" s="200"/>
      <c r="P88" s="200"/>
      <c r="Q88" s="4"/>
      <c r="R88" s="23"/>
      <c r="S88" s="16" t="str">
        <f>I88</f>
        <v>Deferred inflow of resources - lease</v>
      </c>
      <c r="T88" s="201"/>
      <c r="U88" s="201">
        <f>K88</f>
        <v>41638185</v>
      </c>
      <c r="V88" s="4"/>
    </row>
    <row r="89" spans="1:22" s="16" customFormat="1" ht="14.65" customHeight="1" x14ac:dyDescent="0.25">
      <c r="A89" s="203"/>
      <c r="B89" s="6"/>
      <c r="C89" s="5"/>
      <c r="D89" s="5"/>
      <c r="E89" s="6"/>
      <c r="F89" s="6"/>
      <c r="G89" s="6"/>
      <c r="H89" s="23" t="s">
        <v>380</v>
      </c>
      <c r="I89" s="24"/>
      <c r="J89" s="6"/>
      <c r="K89" s="6"/>
      <c r="L89" s="4"/>
      <c r="O89" s="200"/>
      <c r="P89" s="200"/>
      <c r="Q89" s="4"/>
      <c r="R89" s="23" t="str">
        <f>H89</f>
        <v>[To record inception of lease and receipt of lease payment]</v>
      </c>
      <c r="T89" s="201"/>
      <c r="U89" s="201"/>
      <c r="V89" s="4"/>
    </row>
    <row r="90" spans="1:22" s="16" customFormat="1" ht="14.65" customHeight="1" x14ac:dyDescent="0.25">
      <c r="A90" s="203"/>
      <c r="B90" s="6"/>
      <c r="C90" s="5"/>
      <c r="D90" s="5"/>
      <c r="E90" s="6"/>
      <c r="F90" s="6"/>
      <c r="G90" s="6"/>
      <c r="H90" s="23"/>
      <c r="I90" s="24"/>
      <c r="J90" s="6"/>
      <c r="K90" s="6"/>
      <c r="L90" s="4"/>
      <c r="O90" s="200"/>
      <c r="P90" s="200"/>
      <c r="Q90" s="4"/>
      <c r="R90" s="23"/>
      <c r="T90" s="201"/>
      <c r="U90" s="201"/>
      <c r="V90" s="4"/>
    </row>
    <row r="91" spans="1:22" ht="14.65" customHeight="1" x14ac:dyDescent="0.25">
      <c r="A91" s="39"/>
      <c r="B91" s="6"/>
      <c r="C91" s="5"/>
      <c r="D91" s="5"/>
      <c r="E91" s="6"/>
      <c r="F91" s="6"/>
      <c r="G91" s="6"/>
      <c r="H91" s="23"/>
      <c r="I91" s="24"/>
      <c r="J91" s="6"/>
      <c r="K91" s="6"/>
      <c r="L91" s="4"/>
      <c r="Q91" s="4"/>
      <c r="R91" s="23"/>
      <c r="T91" s="42"/>
      <c r="U91" s="42"/>
      <c r="V91" s="4"/>
    </row>
    <row r="92" spans="1:22" ht="14.65" customHeight="1" x14ac:dyDescent="0.25">
      <c r="A92" s="39" t="s">
        <v>446</v>
      </c>
      <c r="B92" s="182"/>
      <c r="C92" s="191"/>
      <c r="D92" s="27" t="s">
        <v>36</v>
      </c>
      <c r="E92" s="6"/>
      <c r="F92" s="6"/>
      <c r="G92" s="6"/>
      <c r="H92" s="21" t="s">
        <v>393</v>
      </c>
      <c r="I92" s="22"/>
      <c r="J92" s="6">
        <f>ROUND(+'Example 4 Assumptions Summary'!D34,0)</f>
        <v>4797062</v>
      </c>
      <c r="K92" s="6"/>
      <c r="L92" s="4"/>
      <c r="M92" s="3" t="s">
        <v>335</v>
      </c>
      <c r="O92" s="19">
        <f>+P94</f>
        <v>4797062</v>
      </c>
      <c r="Q92" s="4"/>
      <c r="R92" s="7" t="str">
        <f>+M92</f>
        <v>Bonds payable</v>
      </c>
      <c r="S92" s="27"/>
      <c r="T92" s="42">
        <f>+O92</f>
        <v>4797062</v>
      </c>
      <c r="U92" s="42"/>
      <c r="V92" s="4"/>
    </row>
    <row r="93" spans="1:22" ht="14.65" customHeight="1" x14ac:dyDescent="0.25">
      <c r="A93" s="39"/>
      <c r="B93" s="6"/>
      <c r="C93" s="5"/>
      <c r="D93" s="5"/>
      <c r="E93" s="6"/>
      <c r="F93" s="6"/>
      <c r="G93" s="6"/>
      <c r="H93" s="21" t="s">
        <v>866</v>
      </c>
      <c r="I93" s="22"/>
      <c r="J93" s="6">
        <f>ROUND(+'Example 4 Assumptions Summary'!E34,0)</f>
        <v>378538</v>
      </c>
      <c r="K93" s="6"/>
      <c r="L93" s="4"/>
      <c r="M93" s="3" t="s">
        <v>28</v>
      </c>
      <c r="O93" s="19">
        <f>+P95</f>
        <v>378538</v>
      </c>
      <c r="Q93" s="4"/>
      <c r="R93" s="7" t="str">
        <f>+M93</f>
        <v>Interest payable</v>
      </c>
      <c r="T93" s="42">
        <f>+O93</f>
        <v>378538</v>
      </c>
      <c r="U93" s="42"/>
      <c r="V93" s="4"/>
    </row>
    <row r="94" spans="1:22" ht="14.65" customHeight="1" x14ac:dyDescent="0.25">
      <c r="A94" s="39"/>
      <c r="B94" s="6"/>
      <c r="C94" s="5"/>
      <c r="D94" s="5"/>
      <c r="E94" s="6"/>
      <c r="F94" s="6"/>
      <c r="G94" s="6"/>
      <c r="H94" s="25"/>
      <c r="I94" s="3" t="s">
        <v>2</v>
      </c>
      <c r="J94" s="6"/>
      <c r="K94" s="6">
        <f>ROUND(+'Example 4 Assumptions Summary'!C34,0)</f>
        <v>5175600</v>
      </c>
      <c r="L94" s="4"/>
      <c r="N94" s="3" t="str">
        <f>+H92</f>
        <v>Debt service - bond principal payment (gen long-term debt)</v>
      </c>
      <c r="P94" s="19">
        <f>+J92</f>
        <v>4797062</v>
      </c>
      <c r="Q94" s="4"/>
      <c r="R94" s="7"/>
      <c r="S94" s="3" t="str">
        <f>+I94</f>
        <v>Cash</v>
      </c>
      <c r="T94" s="42"/>
      <c r="U94" s="42">
        <f>+K94</f>
        <v>5175600</v>
      </c>
      <c r="V94" s="4"/>
    </row>
    <row r="95" spans="1:22" ht="14.25" customHeight="1" x14ac:dyDescent="0.25">
      <c r="A95" s="39"/>
      <c r="B95" s="6"/>
      <c r="C95" s="5"/>
      <c r="D95" s="5"/>
      <c r="E95" s="6"/>
      <c r="F95" s="6"/>
      <c r="G95" s="6"/>
      <c r="H95" s="23" t="s">
        <v>355</v>
      </c>
      <c r="I95" s="24"/>
      <c r="J95" s="6"/>
      <c r="K95" s="6"/>
      <c r="L95" s="4"/>
      <c r="N95" s="3" t="str">
        <f>+H93</f>
        <v xml:space="preserve">Debt service - bond interest </v>
      </c>
      <c r="P95" s="19">
        <f>+J93</f>
        <v>378538</v>
      </c>
      <c r="Q95" s="4"/>
      <c r="R95" s="23" t="str">
        <f>$H$37</f>
        <v>[To record annual bond debt service payment made]</v>
      </c>
      <c r="T95" s="42"/>
      <c r="U95" s="42"/>
      <c r="V95" s="4"/>
    </row>
    <row r="96" spans="1:22" ht="14.65" customHeight="1" x14ac:dyDescent="0.25">
      <c r="A96" s="39"/>
      <c r="B96" s="6"/>
      <c r="C96" s="5"/>
      <c r="D96" s="5"/>
      <c r="E96" s="6"/>
      <c r="F96" s="6"/>
      <c r="G96" s="6"/>
      <c r="H96" s="23"/>
      <c r="I96" s="24"/>
      <c r="J96" s="6"/>
      <c r="K96" s="6"/>
      <c r="L96" s="4"/>
      <c r="Q96" s="4"/>
      <c r="R96" s="23"/>
      <c r="T96" s="42"/>
      <c r="U96" s="42"/>
      <c r="V96" s="4"/>
    </row>
    <row r="97" spans="1:22" ht="14.65" customHeight="1" x14ac:dyDescent="0.25">
      <c r="A97" s="39"/>
      <c r="B97" s="6"/>
      <c r="C97" s="5"/>
      <c r="D97" s="5"/>
      <c r="E97" s="6"/>
      <c r="F97" s="6"/>
      <c r="G97" s="6"/>
      <c r="H97" s="23"/>
      <c r="I97" s="24"/>
      <c r="J97" s="6"/>
      <c r="K97" s="6"/>
      <c r="L97" s="4"/>
      <c r="Q97" s="4"/>
      <c r="R97" s="23"/>
      <c r="T97" s="42"/>
      <c r="U97" s="42"/>
      <c r="V97" s="4"/>
    </row>
    <row r="98" spans="1:22" ht="14.65" customHeight="1" x14ac:dyDescent="0.25">
      <c r="A98" s="39" t="s">
        <v>371</v>
      </c>
      <c r="B98" s="182"/>
      <c r="C98" s="5"/>
      <c r="D98" s="27" t="s">
        <v>36</v>
      </c>
      <c r="E98" s="6"/>
      <c r="F98" s="6"/>
      <c r="G98" s="6"/>
      <c r="H98" s="24" t="s">
        <v>833</v>
      </c>
      <c r="I98" s="27"/>
      <c r="J98" s="6">
        <f>ROUND(+'Ex. 4 Calcs-County'!N23,0)</f>
        <v>1040955</v>
      </c>
      <c r="K98" s="6"/>
      <c r="L98" s="4"/>
      <c r="N98" s="27" t="s">
        <v>36</v>
      </c>
      <c r="O98" s="42"/>
      <c r="P98" s="42"/>
      <c r="Q98" s="4"/>
      <c r="R98" s="5" t="str">
        <f t="shared" ref="R98:U101" si="8">H98</f>
        <v>Deferred inflow of resources - lease</v>
      </c>
      <c r="S98" s="42"/>
      <c r="T98" s="6">
        <f t="shared" si="8"/>
        <v>1040955</v>
      </c>
      <c r="U98" s="6"/>
      <c r="V98" s="4"/>
    </row>
    <row r="99" spans="1:22" ht="14.65" customHeight="1" x14ac:dyDescent="0.25">
      <c r="A99" s="39"/>
      <c r="B99" s="6"/>
      <c r="C99" s="5"/>
      <c r="D99" s="5"/>
      <c r="E99" s="6"/>
      <c r="F99" s="6"/>
      <c r="G99" s="6"/>
      <c r="H99" s="23"/>
      <c r="I99" s="24" t="s">
        <v>790</v>
      </c>
      <c r="J99" s="6"/>
      <c r="K99" s="6">
        <f>+J98</f>
        <v>1040955</v>
      </c>
      <c r="L99" s="4"/>
      <c r="O99" s="42"/>
      <c r="P99" s="42"/>
      <c r="Q99" s="4"/>
      <c r="R99" s="5"/>
      <c r="S99" s="5" t="str">
        <f t="shared" si="8"/>
        <v xml:space="preserve"> Lease revenue - charges for services</v>
      </c>
      <c r="T99" s="6"/>
      <c r="U99" s="6">
        <f t="shared" si="8"/>
        <v>1040955</v>
      </c>
      <c r="V99" s="4"/>
    </row>
    <row r="100" spans="1:22" ht="14.65" customHeight="1" x14ac:dyDescent="0.25">
      <c r="A100" s="39"/>
      <c r="B100" s="6"/>
      <c r="C100" s="192"/>
      <c r="D100" s="5"/>
      <c r="E100" s="6"/>
      <c r="F100" s="6"/>
      <c r="G100" s="6"/>
      <c r="H100" s="23" t="s">
        <v>381</v>
      </c>
      <c r="I100" s="24"/>
      <c r="J100" s="6"/>
      <c r="K100" s="6"/>
      <c r="L100" s="4"/>
      <c r="O100" s="42"/>
      <c r="P100" s="42"/>
      <c r="Q100" s="4"/>
      <c r="R100" s="192" t="str">
        <f t="shared" si="8"/>
        <v>[To record amortization of deferred inflow of resources and</v>
      </c>
      <c r="S100" s="5"/>
      <c r="T100" s="6"/>
      <c r="U100" s="6"/>
      <c r="V100" s="4"/>
    </row>
    <row r="101" spans="1:22" ht="14.65" customHeight="1" x14ac:dyDescent="0.25">
      <c r="A101" s="39"/>
      <c r="B101" s="6"/>
      <c r="C101" s="5"/>
      <c r="D101" s="5"/>
      <c r="E101" s="6"/>
      <c r="F101" s="6"/>
      <c r="G101" s="6"/>
      <c r="H101" s="23" t="s">
        <v>382</v>
      </c>
      <c r="I101" s="24"/>
      <c r="J101" s="6"/>
      <c r="K101" s="6"/>
      <c r="L101" s="4"/>
      <c r="Q101" s="4"/>
      <c r="R101" s="23" t="str">
        <f t="shared" si="8"/>
        <v>recognize lease revenue]</v>
      </c>
      <c r="T101" s="42"/>
      <c r="U101" s="42"/>
      <c r="V101" s="4"/>
    </row>
    <row r="102" spans="1:22" ht="14.65" customHeight="1" x14ac:dyDescent="0.25">
      <c r="A102" s="39"/>
      <c r="B102" s="6"/>
      <c r="C102" s="5"/>
      <c r="D102" s="5"/>
      <c r="E102" s="6"/>
      <c r="F102" s="6"/>
      <c r="G102" s="6"/>
      <c r="H102" s="23"/>
      <c r="I102" s="24"/>
      <c r="J102" s="6"/>
      <c r="K102" s="6"/>
      <c r="L102" s="4"/>
      <c r="Q102" s="4"/>
      <c r="R102" s="23"/>
      <c r="T102" s="42"/>
      <c r="U102" s="42"/>
      <c r="V102" s="4"/>
    </row>
    <row r="103" spans="1:22" ht="14.65" customHeight="1" x14ac:dyDescent="0.25">
      <c r="A103" s="39"/>
      <c r="B103" s="6"/>
      <c r="C103" s="5"/>
      <c r="D103" s="5"/>
      <c r="E103" s="6"/>
      <c r="F103" s="6"/>
      <c r="G103" s="6"/>
      <c r="H103" s="6"/>
      <c r="I103" s="6"/>
      <c r="J103" s="6"/>
      <c r="K103" s="6"/>
      <c r="L103" s="4"/>
      <c r="Q103" s="4"/>
      <c r="R103" s="20"/>
      <c r="T103" s="42"/>
      <c r="U103" s="42"/>
      <c r="V103" s="4"/>
    </row>
    <row r="104" spans="1:22" s="27" customFormat="1" x14ac:dyDescent="0.25">
      <c r="A104" s="43" t="s">
        <v>383</v>
      </c>
      <c r="B104" s="182"/>
      <c r="C104" s="191"/>
      <c r="D104" s="27" t="s">
        <v>36</v>
      </c>
      <c r="E104" s="182"/>
      <c r="F104" s="182"/>
      <c r="G104" s="182"/>
      <c r="H104" s="182"/>
      <c r="I104" s="27" t="s">
        <v>36</v>
      </c>
      <c r="J104" s="182"/>
      <c r="K104" s="182"/>
      <c r="L104" s="183"/>
      <c r="M104" s="7" t="s">
        <v>24</v>
      </c>
      <c r="N104" s="24"/>
      <c r="O104" s="6">
        <f>+'Ex. 4 Calcs-County'!T23</f>
        <v>1320000</v>
      </c>
      <c r="P104" s="6"/>
      <c r="Q104" s="4"/>
      <c r="R104" s="24" t="str">
        <f t="shared" ref="R104:U106" si="9">M104</f>
        <v>Depreciation expense</v>
      </c>
      <c r="S104" s="24"/>
      <c r="T104" s="6">
        <f t="shared" si="9"/>
        <v>1320000</v>
      </c>
      <c r="U104" s="117"/>
      <c r="V104" s="182"/>
    </row>
    <row r="105" spans="1:22" s="15" customFormat="1" ht="14.25" customHeight="1" x14ac:dyDescent="0.25">
      <c r="A105" s="39"/>
      <c r="B105" s="6"/>
      <c r="C105" s="5"/>
      <c r="D105" s="5"/>
      <c r="E105" s="6"/>
      <c r="F105" s="6"/>
      <c r="G105" s="6"/>
      <c r="H105" s="6"/>
      <c r="I105" s="6"/>
      <c r="J105" s="6"/>
      <c r="K105" s="6"/>
      <c r="L105" s="4"/>
      <c r="M105" s="23"/>
      <c r="N105" s="24" t="s">
        <v>384</v>
      </c>
      <c r="O105" s="6"/>
      <c r="P105" s="6">
        <f>+O104</f>
        <v>1320000</v>
      </c>
      <c r="Q105" s="4"/>
      <c r="R105" s="24"/>
      <c r="S105" s="24" t="str">
        <f t="shared" si="9"/>
        <v>Accumulated depreciation - office building</v>
      </c>
      <c r="T105" s="6"/>
      <c r="U105" s="117">
        <f t="shared" si="9"/>
        <v>1320000</v>
      </c>
      <c r="V105" s="4"/>
    </row>
    <row r="106" spans="1:22" s="15" customFormat="1" ht="14.25" customHeight="1" x14ac:dyDescent="0.25">
      <c r="A106" s="39"/>
      <c r="B106" s="6"/>
      <c r="C106" s="5"/>
      <c r="D106" s="5"/>
      <c r="E106" s="6"/>
      <c r="F106" s="6"/>
      <c r="G106" s="6"/>
      <c r="H106" s="6"/>
      <c r="I106" s="6"/>
      <c r="J106" s="6"/>
      <c r="K106" s="6"/>
      <c r="L106" s="4"/>
      <c r="M106" s="23" t="s">
        <v>386</v>
      </c>
      <c r="N106" s="24"/>
      <c r="O106" s="6"/>
      <c r="P106" s="6"/>
      <c r="Q106" s="4"/>
      <c r="R106" s="23" t="str">
        <f t="shared" si="9"/>
        <v>[To record annual depreciation of office building]</v>
      </c>
      <c r="S106" s="24"/>
      <c r="T106" s="6"/>
      <c r="U106" s="117"/>
      <c r="V106" s="4"/>
    </row>
    <row r="107" spans="1:22" s="15" customFormat="1" ht="14.65" customHeight="1" x14ac:dyDescent="0.25">
      <c r="A107" s="39"/>
      <c r="B107" s="6"/>
      <c r="C107" s="5"/>
      <c r="D107" s="5"/>
      <c r="E107" s="6"/>
      <c r="F107" s="6"/>
      <c r="G107" s="6"/>
      <c r="H107" s="6"/>
      <c r="I107" s="6"/>
      <c r="J107" s="6"/>
      <c r="K107" s="6"/>
      <c r="L107" s="4"/>
      <c r="M107" s="23"/>
      <c r="N107" s="24"/>
      <c r="O107" s="6"/>
      <c r="P107" s="6"/>
      <c r="Q107" s="4"/>
      <c r="R107" s="24"/>
      <c r="S107" s="24"/>
      <c r="T107" s="6"/>
      <c r="U107" s="117"/>
      <c r="V107" s="4"/>
    </row>
    <row r="108" spans="1:22" s="15" customFormat="1" ht="14.65" customHeight="1" x14ac:dyDescent="0.25">
      <c r="A108" s="39"/>
      <c r="B108" s="6"/>
      <c r="C108" s="5"/>
      <c r="D108" s="5"/>
      <c r="E108" s="6"/>
      <c r="F108" s="6"/>
      <c r="G108" s="6"/>
      <c r="H108" s="6"/>
      <c r="I108" s="6"/>
      <c r="J108" s="6"/>
      <c r="K108" s="6"/>
      <c r="L108" s="4"/>
      <c r="M108" s="23"/>
      <c r="N108" s="24"/>
      <c r="O108" s="6"/>
      <c r="P108" s="6"/>
      <c r="Q108" s="4"/>
      <c r="R108" s="24"/>
      <c r="S108" s="24"/>
      <c r="T108" s="6"/>
      <c r="U108" s="6"/>
      <c r="V108" s="4"/>
    </row>
    <row r="109" spans="1:22" s="15" customFormat="1" ht="14.65" customHeight="1" x14ac:dyDescent="0.25">
      <c r="A109" s="39" t="s">
        <v>392</v>
      </c>
      <c r="B109" s="6"/>
      <c r="C109" s="5"/>
      <c r="D109" s="27" t="s">
        <v>36</v>
      </c>
      <c r="E109" s="6"/>
      <c r="F109" s="6"/>
      <c r="G109" s="6"/>
      <c r="H109" s="6"/>
      <c r="I109" s="27" t="s">
        <v>36</v>
      </c>
      <c r="J109" s="6"/>
      <c r="K109" s="6"/>
      <c r="L109" s="4"/>
      <c r="M109" s="15" t="s">
        <v>434</v>
      </c>
      <c r="O109" s="6">
        <f>ROUND(+'Ex. 4 Calcs-County'!D24,0)</f>
        <v>2408207</v>
      </c>
      <c r="P109" s="117"/>
      <c r="R109" s="15" t="str">
        <f t="shared" ref="R109:U111" si="10">M109</f>
        <v>Lease interest receivable</v>
      </c>
      <c r="T109" s="6">
        <f t="shared" si="10"/>
        <v>2408207</v>
      </c>
      <c r="U109" s="6"/>
      <c r="V109" s="4"/>
    </row>
    <row r="110" spans="1:22" s="15" customFormat="1" ht="14.65" customHeight="1" x14ac:dyDescent="0.25">
      <c r="A110" s="39"/>
      <c r="B110" s="6"/>
      <c r="C110" s="5"/>
      <c r="D110" s="5"/>
      <c r="E110" s="6"/>
      <c r="F110" s="6"/>
      <c r="G110" s="6"/>
      <c r="H110" s="6"/>
      <c r="I110" s="6"/>
      <c r="J110" s="6"/>
      <c r="K110" s="6"/>
      <c r="L110" s="4"/>
      <c r="N110" s="15" t="s">
        <v>436</v>
      </c>
      <c r="O110" s="117"/>
      <c r="P110" s="117">
        <f>+O109</f>
        <v>2408207</v>
      </c>
      <c r="S110" s="15" t="str">
        <f t="shared" si="10"/>
        <v>Lease interest income</v>
      </c>
      <c r="T110" s="6"/>
      <c r="U110" s="6">
        <f t="shared" si="10"/>
        <v>2408207</v>
      </c>
      <c r="V110" s="4"/>
    </row>
    <row r="111" spans="1:22" s="15" customFormat="1" ht="14.65" customHeight="1" x14ac:dyDescent="0.25">
      <c r="A111" s="39"/>
      <c r="B111" s="6"/>
      <c r="C111" s="5"/>
      <c r="D111" s="5"/>
      <c r="E111" s="6"/>
      <c r="F111" s="6"/>
      <c r="G111" s="6"/>
      <c r="H111" s="6"/>
      <c r="I111" s="6"/>
      <c r="J111" s="6"/>
      <c r="K111" s="6"/>
      <c r="L111" s="4"/>
      <c r="M111" s="230" t="s">
        <v>437</v>
      </c>
      <c r="O111" s="117"/>
      <c r="P111" s="117"/>
      <c r="R111" s="230" t="str">
        <f t="shared" si="10"/>
        <v>[To record accrual of lease interest receivable at FYE]</v>
      </c>
      <c r="T111" s="6"/>
      <c r="U111" s="6"/>
      <c r="V111" s="4"/>
    </row>
    <row r="112" spans="1:22" s="15" customFormat="1" ht="14.65" customHeight="1" x14ac:dyDescent="0.25">
      <c r="A112" s="39"/>
      <c r="B112" s="6"/>
      <c r="C112" s="5"/>
      <c r="D112" s="5"/>
      <c r="E112" s="6"/>
      <c r="F112" s="6"/>
      <c r="G112" s="6"/>
      <c r="H112" s="6"/>
      <c r="I112" s="6"/>
      <c r="J112" s="6"/>
      <c r="K112" s="6"/>
      <c r="L112" s="4"/>
      <c r="M112" s="23"/>
      <c r="N112" s="24"/>
      <c r="O112" s="6"/>
      <c r="P112" s="6"/>
      <c r="Q112" s="4"/>
      <c r="R112" s="24"/>
      <c r="S112" s="24"/>
      <c r="T112" s="6"/>
      <c r="U112" s="117"/>
      <c r="V112" s="4"/>
    </row>
    <row r="113" spans="1:22" s="15" customFormat="1" ht="14.65" customHeight="1" x14ac:dyDescent="0.25">
      <c r="A113" s="39"/>
      <c r="B113" s="6"/>
      <c r="C113" s="5"/>
      <c r="D113" s="5"/>
      <c r="E113" s="6"/>
      <c r="F113" s="6"/>
      <c r="G113" s="6"/>
      <c r="H113" s="6"/>
      <c r="I113" s="6"/>
      <c r="J113" s="6"/>
      <c r="K113" s="6"/>
      <c r="L113" s="4"/>
      <c r="M113" s="23"/>
      <c r="N113" s="24"/>
      <c r="O113" s="6"/>
      <c r="P113" s="6"/>
      <c r="Q113" s="4"/>
      <c r="R113" s="24"/>
      <c r="S113" s="24"/>
      <c r="T113" s="6"/>
      <c r="U113" s="117"/>
      <c r="V113" s="4"/>
    </row>
    <row r="114" spans="1:22" s="15" customFormat="1" ht="14.65" customHeight="1" x14ac:dyDescent="0.25">
      <c r="A114" s="39" t="s">
        <v>435</v>
      </c>
      <c r="B114" s="6"/>
      <c r="C114" s="5"/>
      <c r="D114" s="27" t="s">
        <v>36</v>
      </c>
      <c r="E114" s="6"/>
      <c r="F114" s="6"/>
      <c r="G114" s="6"/>
      <c r="H114" s="6"/>
      <c r="I114" s="27" t="s">
        <v>36</v>
      </c>
      <c r="J114" s="6"/>
      <c r="K114" s="6"/>
      <c r="L114" s="4"/>
      <c r="M114" s="7" t="s">
        <v>344</v>
      </c>
      <c r="N114" s="7"/>
      <c r="O114" s="182">
        <f>+P115+P116</f>
        <v>4804405</v>
      </c>
      <c r="P114" s="182"/>
      <c r="Q114" s="183"/>
      <c r="R114" s="7" t="str">
        <f t="shared" ref="R114" si="11">M114</f>
        <v>Bond interest expense</v>
      </c>
      <c r="S114" s="7"/>
      <c r="T114" s="182">
        <f>O114</f>
        <v>4804405</v>
      </c>
      <c r="U114" s="182"/>
      <c r="V114" s="4"/>
    </row>
    <row r="115" spans="1:22" s="15" customFormat="1" ht="14.65" customHeight="1" x14ac:dyDescent="0.25">
      <c r="A115" s="39"/>
      <c r="B115" s="6"/>
      <c r="C115" s="5"/>
      <c r="D115" s="5"/>
      <c r="E115" s="6"/>
      <c r="F115" s="6"/>
      <c r="G115" s="6"/>
      <c r="H115" s="6"/>
      <c r="I115" s="6"/>
      <c r="J115" s="6"/>
      <c r="K115" s="6"/>
      <c r="L115" s="4"/>
      <c r="M115" s="23"/>
      <c r="N115" s="7" t="s">
        <v>28</v>
      </c>
      <c r="O115" s="182"/>
      <c r="P115" s="182">
        <f>+'Example 4 Assumptions Summary'!D35</f>
        <v>4770091</v>
      </c>
      <c r="Q115" s="183"/>
      <c r="R115" s="7"/>
      <c r="S115" s="7" t="str">
        <f t="shared" ref="S115" si="12">N115</f>
        <v>Interest payable</v>
      </c>
      <c r="T115" s="182"/>
      <c r="U115" s="182">
        <f>P115</f>
        <v>4770091</v>
      </c>
      <c r="V115" s="4"/>
    </row>
    <row r="116" spans="1:22" s="15" customFormat="1" ht="14.65" customHeight="1" x14ac:dyDescent="0.25">
      <c r="A116" s="39"/>
      <c r="B116" s="6"/>
      <c r="C116" s="5"/>
      <c r="D116" s="5"/>
      <c r="E116" s="6"/>
      <c r="F116" s="6"/>
      <c r="G116" s="6"/>
      <c r="H116" s="6"/>
      <c r="I116" s="6"/>
      <c r="J116" s="6"/>
      <c r="K116" s="6"/>
      <c r="L116" s="4"/>
      <c r="M116" s="23"/>
      <c r="N116" s="3" t="s">
        <v>334</v>
      </c>
      <c r="O116" s="19"/>
      <c r="P116" s="19">
        <f>ROUND(+'Example 4 Assumptions Summary'!G35,0)</f>
        <v>34314</v>
      </c>
      <c r="Q116" s="183"/>
      <c r="R116" s="7"/>
      <c r="S116" s="7" t="str">
        <f>+N116</f>
        <v>Discount on bonds payable</v>
      </c>
      <c r="T116" s="182"/>
      <c r="U116" s="182">
        <f>+P116</f>
        <v>34314</v>
      </c>
      <c r="V116" s="4"/>
    </row>
    <row r="117" spans="1:22" s="15" customFormat="1" ht="14.65" customHeight="1" x14ac:dyDescent="0.25">
      <c r="A117" s="39"/>
      <c r="B117" s="6"/>
      <c r="C117" s="5"/>
      <c r="D117" s="5"/>
      <c r="E117" s="6"/>
      <c r="F117" s="6"/>
      <c r="G117" s="6"/>
      <c r="H117" s="6"/>
      <c r="I117" s="6"/>
      <c r="J117" s="6"/>
      <c r="K117" s="6"/>
      <c r="L117" s="4"/>
      <c r="M117" s="23" t="s">
        <v>831</v>
      </c>
      <c r="N117" s="23"/>
      <c r="O117" s="6"/>
      <c r="P117" s="6"/>
      <c r="Q117" s="4"/>
      <c r="R117" s="22" t="str">
        <f t="shared" ref="R117:R118" si="13">M117</f>
        <v>[To record accrual of bond interest payable and amortization of</v>
      </c>
      <c r="S117" s="23"/>
      <c r="T117" s="6"/>
      <c r="U117" s="117"/>
      <c r="V117" s="4"/>
    </row>
    <row r="118" spans="1:22" s="15" customFormat="1" ht="14.65" customHeight="1" x14ac:dyDescent="0.25">
      <c r="A118" s="39"/>
      <c r="B118" s="6"/>
      <c r="C118" s="5"/>
      <c r="D118" s="5"/>
      <c r="E118" s="6"/>
      <c r="F118" s="6"/>
      <c r="G118" s="6"/>
      <c r="H118" s="6"/>
      <c r="I118" s="6"/>
      <c r="J118" s="6"/>
      <c r="K118" s="6"/>
      <c r="L118" s="4"/>
      <c r="M118" s="23" t="s">
        <v>361</v>
      </c>
      <c r="N118" s="24"/>
      <c r="O118" s="6"/>
      <c r="P118" s="6"/>
      <c r="Q118" s="4"/>
      <c r="R118" s="24" t="str">
        <f t="shared" si="13"/>
        <v>discount on bond payable]</v>
      </c>
      <c r="S118" s="24"/>
      <c r="T118" s="6"/>
      <c r="U118" s="117"/>
      <c r="V118" s="4"/>
    </row>
    <row r="119" spans="1:22" s="15" customFormat="1" ht="14.65" customHeight="1" x14ac:dyDescent="0.25">
      <c r="A119" s="39"/>
      <c r="B119" s="6"/>
      <c r="C119" s="5"/>
      <c r="D119" s="5"/>
      <c r="E119" s="6"/>
      <c r="F119" s="6"/>
      <c r="G119" s="6"/>
      <c r="H119" s="6"/>
      <c r="I119" s="6"/>
      <c r="J119" s="6"/>
      <c r="K119" s="6"/>
      <c r="L119" s="4"/>
      <c r="M119" s="23"/>
      <c r="N119" s="24"/>
      <c r="O119" s="6"/>
      <c r="P119" s="6"/>
      <c r="Q119" s="4"/>
      <c r="R119" s="24"/>
      <c r="S119" s="24"/>
      <c r="T119" s="6"/>
      <c r="U119" s="117"/>
      <c r="V119" s="4"/>
    </row>
    <row r="120" spans="1:22" s="15" customFormat="1" ht="14.65" customHeight="1" x14ac:dyDescent="0.25">
      <c r="A120" s="39"/>
      <c r="B120" s="6"/>
      <c r="C120" s="5"/>
      <c r="D120" s="5"/>
      <c r="E120" s="6"/>
      <c r="F120" s="6"/>
      <c r="G120" s="6"/>
      <c r="H120" s="6"/>
      <c r="I120" s="6"/>
      <c r="J120" s="6"/>
      <c r="K120" s="6"/>
      <c r="L120" s="4"/>
      <c r="M120" s="23"/>
      <c r="N120" s="24"/>
      <c r="O120" s="6"/>
      <c r="P120" s="6"/>
      <c r="Q120" s="4"/>
      <c r="R120" s="24"/>
      <c r="S120" s="24"/>
      <c r="T120" s="6"/>
      <c r="U120" s="117"/>
      <c r="V120" s="4"/>
    </row>
    <row r="121" spans="1:22" ht="14.25" customHeight="1" x14ac:dyDescent="0.25">
      <c r="A121" s="186" t="s">
        <v>387</v>
      </c>
      <c r="B121" s="3"/>
      <c r="C121" s="116"/>
      <c r="D121" s="116"/>
      <c r="E121" s="3"/>
      <c r="F121" s="3"/>
      <c r="G121" s="3"/>
      <c r="H121" s="3"/>
      <c r="I121" s="3"/>
      <c r="J121" s="6"/>
      <c r="K121" s="3"/>
      <c r="O121" s="42"/>
      <c r="P121" s="42"/>
      <c r="T121" s="6"/>
      <c r="U121" s="42"/>
      <c r="V121" s="4"/>
    </row>
    <row r="122" spans="1:22" ht="14.25" customHeight="1" x14ac:dyDescent="0.25">
      <c r="A122" s="39" t="s">
        <v>388</v>
      </c>
      <c r="B122" s="3"/>
      <c r="C122" s="116"/>
      <c r="D122" s="27" t="s">
        <v>36</v>
      </c>
      <c r="E122" s="3"/>
      <c r="F122" s="3"/>
      <c r="G122" s="3"/>
      <c r="H122" s="3" t="s">
        <v>2</v>
      </c>
      <c r="I122" s="3"/>
      <c r="J122" s="6">
        <f>ROUND(+'Ex. 4 Calcs-County'!C24,0)</f>
        <v>2612930</v>
      </c>
      <c r="K122" s="3"/>
      <c r="M122" s="3" t="str">
        <f>+I124</f>
        <v>Revenue - lease interest</v>
      </c>
      <c r="O122" s="42">
        <f>+K124</f>
        <v>2408207</v>
      </c>
      <c r="P122" s="42"/>
      <c r="R122" s="3" t="str">
        <f>+H122</f>
        <v>Cash</v>
      </c>
      <c r="T122" s="6">
        <f>+J122</f>
        <v>2612930</v>
      </c>
      <c r="U122" s="42"/>
      <c r="V122" s="4"/>
    </row>
    <row r="123" spans="1:22" ht="14.25" customHeight="1" x14ac:dyDescent="0.25">
      <c r="A123" s="111"/>
      <c r="B123" s="3"/>
      <c r="C123" s="116"/>
      <c r="D123" s="116"/>
      <c r="E123" s="3"/>
      <c r="F123" s="3"/>
      <c r="G123" s="3"/>
      <c r="H123" s="3"/>
      <c r="I123" s="3" t="s">
        <v>48</v>
      </c>
      <c r="J123" s="6"/>
      <c r="K123" s="6">
        <f>ROUND(+'Ex. 4 Calcs-County'!E24,0)</f>
        <v>204723</v>
      </c>
      <c r="N123" s="3" t="s">
        <v>434</v>
      </c>
      <c r="O123" s="42"/>
      <c r="P123" s="42">
        <f>+O109</f>
        <v>2408207</v>
      </c>
      <c r="S123" s="3" t="str">
        <f>+I123</f>
        <v>Lease receivable</v>
      </c>
      <c r="T123" s="6"/>
      <c r="U123" s="42">
        <f>+K123</f>
        <v>204723</v>
      </c>
      <c r="V123" s="4"/>
    </row>
    <row r="124" spans="1:22" ht="14.25" customHeight="1" x14ac:dyDescent="0.25">
      <c r="A124" s="111"/>
      <c r="B124" s="3"/>
      <c r="C124" s="116"/>
      <c r="D124" s="116"/>
      <c r="E124" s="3"/>
      <c r="F124" s="3"/>
      <c r="G124" s="3"/>
      <c r="H124" s="3"/>
      <c r="I124" s="3" t="s">
        <v>432</v>
      </c>
      <c r="J124" s="6"/>
      <c r="K124" s="6">
        <f>ROUND(+'Ex. 4 Calcs-County'!D24,0)</f>
        <v>2408207</v>
      </c>
      <c r="O124" s="42"/>
      <c r="P124" s="42"/>
      <c r="S124" s="3" t="str">
        <f>+N123</f>
        <v>Lease interest receivable</v>
      </c>
      <c r="T124" s="6"/>
      <c r="U124" s="42">
        <f>+P123</f>
        <v>2408207</v>
      </c>
      <c r="V124" s="4"/>
    </row>
    <row r="125" spans="1:22" ht="14.25" customHeight="1" x14ac:dyDescent="0.25">
      <c r="A125" s="111"/>
      <c r="B125" s="3"/>
      <c r="C125" s="116"/>
      <c r="D125" s="116"/>
      <c r="E125" s="3"/>
      <c r="F125" s="3"/>
      <c r="G125" s="3"/>
      <c r="H125" s="20" t="s">
        <v>433</v>
      </c>
      <c r="I125" s="3"/>
      <c r="J125" s="6"/>
      <c r="K125" s="6"/>
      <c r="O125" s="42"/>
      <c r="P125" s="42"/>
      <c r="R125" s="20" t="str">
        <f>+H125</f>
        <v>[To record receipt of annual lease payment]</v>
      </c>
      <c r="T125" s="3"/>
      <c r="U125" s="3"/>
      <c r="V125" s="4"/>
    </row>
    <row r="126" spans="1:22" ht="14.25" customHeight="1" x14ac:dyDescent="0.25">
      <c r="A126" s="111"/>
      <c r="B126" s="3"/>
      <c r="C126" s="116"/>
      <c r="D126" s="116"/>
      <c r="E126" s="3"/>
      <c r="F126" s="3"/>
      <c r="G126" s="3"/>
      <c r="H126" s="3"/>
      <c r="I126" s="3"/>
      <c r="J126" s="6"/>
      <c r="K126" s="6"/>
      <c r="O126" s="42"/>
      <c r="P126" s="42"/>
      <c r="T126" s="6"/>
      <c r="U126" s="42"/>
      <c r="V126" s="4"/>
    </row>
    <row r="127" spans="1:22" ht="14.25" customHeight="1" x14ac:dyDescent="0.25">
      <c r="A127" s="111"/>
      <c r="B127" s="3"/>
      <c r="C127" s="116"/>
      <c r="D127" s="116"/>
      <c r="E127" s="3"/>
      <c r="F127" s="3"/>
      <c r="G127" s="3"/>
      <c r="H127" s="3"/>
      <c r="I127" s="3"/>
      <c r="J127" s="6"/>
      <c r="K127" s="3"/>
      <c r="O127" s="42"/>
      <c r="P127" s="42"/>
      <c r="T127" s="6"/>
      <c r="U127" s="42"/>
      <c r="V127" s="4"/>
    </row>
    <row r="128" spans="1:22" ht="14.65" customHeight="1" x14ac:dyDescent="0.25">
      <c r="A128" s="39" t="s">
        <v>431</v>
      </c>
      <c r="B128" s="182"/>
      <c r="C128" s="191"/>
      <c r="D128" s="27" t="s">
        <v>36</v>
      </c>
      <c r="E128" s="6"/>
      <c r="F128" s="6"/>
      <c r="G128" s="6"/>
      <c r="H128" s="21" t="s">
        <v>393</v>
      </c>
      <c r="I128" s="22"/>
      <c r="J128" s="6">
        <f>ROUND(+'Example 4 Assumptions Summary'!E35,0)</f>
        <v>405509</v>
      </c>
      <c r="K128" s="6"/>
      <c r="L128" s="4"/>
      <c r="M128" s="3" t="s">
        <v>335</v>
      </c>
      <c r="O128" s="19">
        <f>+P130</f>
        <v>405509</v>
      </c>
      <c r="Q128" s="4"/>
      <c r="R128" s="7" t="str">
        <f>+M128</f>
        <v>Bonds payable</v>
      </c>
      <c r="S128" s="27"/>
      <c r="T128" s="42">
        <f>+O128</f>
        <v>405509</v>
      </c>
      <c r="U128" s="42"/>
      <c r="V128" s="4"/>
    </row>
    <row r="129" spans="1:22" ht="14.65" customHeight="1" x14ac:dyDescent="0.25">
      <c r="A129" s="39"/>
      <c r="B129" s="6"/>
      <c r="C129" s="5"/>
      <c r="D129" s="5"/>
      <c r="E129" s="6"/>
      <c r="F129" s="6"/>
      <c r="G129" s="6"/>
      <c r="H129" s="21" t="s">
        <v>394</v>
      </c>
      <c r="I129" s="22"/>
      <c r="J129" s="6">
        <f>ROUND(+'Example 4 Assumptions Summary'!D35,0)</f>
        <v>4770091</v>
      </c>
      <c r="K129" s="6"/>
      <c r="L129" s="4"/>
      <c r="M129" s="3" t="s">
        <v>28</v>
      </c>
      <c r="O129" s="19">
        <f>+P131</f>
        <v>4770091</v>
      </c>
      <c r="Q129" s="4"/>
      <c r="R129" s="7" t="str">
        <f>+M129</f>
        <v>Interest payable</v>
      </c>
      <c r="T129" s="42">
        <f>+O129</f>
        <v>4770091</v>
      </c>
      <c r="U129" s="42"/>
      <c r="V129" s="4"/>
    </row>
    <row r="130" spans="1:22" ht="14.65" customHeight="1" x14ac:dyDescent="0.25">
      <c r="A130" s="39"/>
      <c r="B130" s="6"/>
      <c r="C130" s="5"/>
      <c r="D130" s="5"/>
      <c r="E130" s="6"/>
      <c r="F130" s="6"/>
      <c r="G130" s="6"/>
      <c r="H130" s="25"/>
      <c r="I130" s="3" t="s">
        <v>2</v>
      </c>
      <c r="J130" s="6"/>
      <c r="K130" s="6">
        <f>ROUND(+'Example 4 Assumptions Summary'!C35,0)</f>
        <v>5175600</v>
      </c>
      <c r="L130" s="4"/>
      <c r="N130" s="3" t="str">
        <f>+H128</f>
        <v>Debt service - bond principal payment (gen long-term debt)</v>
      </c>
      <c r="P130" s="19">
        <f>+J128</f>
        <v>405509</v>
      </c>
      <c r="Q130" s="4"/>
      <c r="R130" s="7"/>
      <c r="S130" s="3" t="str">
        <f>+I130</f>
        <v>Cash</v>
      </c>
      <c r="T130" s="42"/>
      <c r="U130" s="42">
        <f>+K130</f>
        <v>5175600</v>
      </c>
      <c r="V130" s="4"/>
    </row>
    <row r="131" spans="1:22" ht="14.25" customHeight="1" x14ac:dyDescent="0.25">
      <c r="A131" s="39"/>
      <c r="B131" s="6"/>
      <c r="C131" s="5"/>
      <c r="D131" s="5"/>
      <c r="E131" s="6"/>
      <c r="F131" s="6"/>
      <c r="G131" s="6"/>
      <c r="H131" s="23" t="s">
        <v>355</v>
      </c>
      <c r="I131" s="24"/>
      <c r="J131" s="6"/>
      <c r="K131" s="6"/>
      <c r="L131" s="4"/>
      <c r="N131" s="3" t="str">
        <f>+H129</f>
        <v xml:space="preserve">Debt service - bond Interest </v>
      </c>
      <c r="P131" s="19">
        <f>+J129</f>
        <v>4770091</v>
      </c>
      <c r="Q131" s="4"/>
      <c r="R131" s="23" t="str">
        <f>$H$37</f>
        <v>[To record annual bond debt service payment made]</v>
      </c>
      <c r="T131" s="42"/>
      <c r="U131" s="42"/>
      <c r="V131" s="4"/>
    </row>
    <row r="132" spans="1:22" ht="14.65" customHeight="1" x14ac:dyDescent="0.25">
      <c r="A132" s="39"/>
      <c r="B132" s="6"/>
      <c r="C132" s="5"/>
      <c r="D132" s="5"/>
      <c r="E132" s="6"/>
      <c r="F132" s="6"/>
      <c r="G132" s="6"/>
      <c r="H132" s="23"/>
      <c r="I132" s="24"/>
      <c r="J132" s="6"/>
      <c r="K132" s="6"/>
      <c r="L132" s="4"/>
      <c r="Q132" s="4"/>
      <c r="R132" s="23"/>
      <c r="T132" s="42"/>
      <c r="U132" s="42"/>
      <c r="V132" s="4"/>
    </row>
    <row r="133" spans="1:22" ht="14.65" customHeight="1" x14ac:dyDescent="0.25">
      <c r="A133" s="39"/>
      <c r="B133" s="6"/>
      <c r="C133" s="5"/>
      <c r="D133" s="5"/>
      <c r="E133" s="6"/>
      <c r="F133" s="6"/>
      <c r="G133" s="6"/>
      <c r="H133" s="23"/>
      <c r="I133" s="24"/>
      <c r="J133" s="6"/>
      <c r="K133" s="6"/>
      <c r="L133" s="4"/>
      <c r="Q133" s="4"/>
      <c r="R133" s="23"/>
      <c r="T133" s="42"/>
      <c r="U133" s="42"/>
      <c r="V133" s="4"/>
    </row>
    <row r="134" spans="1:22" ht="14.65" customHeight="1" x14ac:dyDescent="0.25">
      <c r="A134" s="39" t="s">
        <v>389</v>
      </c>
      <c r="B134" s="182"/>
      <c r="C134" s="5"/>
      <c r="D134" s="27" t="s">
        <v>36</v>
      </c>
      <c r="E134" s="6"/>
      <c r="F134" s="6"/>
      <c r="G134" s="6"/>
      <c r="H134" s="24" t="s">
        <v>833</v>
      </c>
      <c r="I134" s="27"/>
      <c r="J134" s="6">
        <f>ROUND(+'Ex. 4 Calcs-County'!N62,0)</f>
        <v>1040955</v>
      </c>
      <c r="K134" s="6"/>
      <c r="L134" s="4"/>
      <c r="N134" s="27" t="s">
        <v>36</v>
      </c>
      <c r="O134" s="42"/>
      <c r="P134" s="42"/>
      <c r="Q134" s="4"/>
      <c r="R134" s="5" t="str">
        <f t="shared" ref="R134" si="14">H134</f>
        <v>Deferred inflow of resources - lease</v>
      </c>
      <c r="S134" s="42"/>
      <c r="T134" s="6">
        <f t="shared" ref="T134" si="15">J134</f>
        <v>1040955</v>
      </c>
      <c r="U134" s="6"/>
      <c r="V134" s="4"/>
    </row>
    <row r="135" spans="1:22" ht="14.65" customHeight="1" x14ac:dyDescent="0.25">
      <c r="A135" s="39"/>
      <c r="B135" s="6"/>
      <c r="C135" s="5"/>
      <c r="D135" s="5"/>
      <c r="E135" s="6"/>
      <c r="F135" s="6"/>
      <c r="G135" s="6"/>
      <c r="H135" s="23"/>
      <c r="I135" s="24" t="s">
        <v>790</v>
      </c>
      <c r="J135" s="6"/>
      <c r="K135" s="6">
        <f>+J134</f>
        <v>1040955</v>
      </c>
      <c r="L135" s="4"/>
      <c r="O135" s="42"/>
      <c r="P135" s="42"/>
      <c r="Q135" s="4"/>
      <c r="R135" s="5"/>
      <c r="S135" s="5" t="str">
        <f t="shared" ref="S135" si="16">I135</f>
        <v xml:space="preserve"> Lease revenue - charges for services</v>
      </c>
      <c r="T135" s="6"/>
      <c r="U135" s="6">
        <f t="shared" ref="U135" si="17">K135</f>
        <v>1040955</v>
      </c>
      <c r="V135" s="4"/>
    </row>
    <row r="136" spans="1:22" ht="14.65" customHeight="1" x14ac:dyDescent="0.25">
      <c r="A136" s="39"/>
      <c r="B136" s="6"/>
      <c r="C136" s="192"/>
      <c r="D136" s="5"/>
      <c r="E136" s="6"/>
      <c r="F136" s="6"/>
      <c r="G136" s="6"/>
      <c r="H136" s="23" t="s">
        <v>381</v>
      </c>
      <c r="I136" s="24"/>
      <c r="J136" s="6"/>
      <c r="K136" s="6"/>
      <c r="L136" s="4"/>
      <c r="O136" s="42"/>
      <c r="P136" s="42"/>
      <c r="Q136" s="4"/>
      <c r="R136" s="192" t="str">
        <f t="shared" ref="R136:R137" si="18">H136</f>
        <v>[To record amortization of deferred inflow of resources and</v>
      </c>
      <c r="S136" s="5"/>
      <c r="T136" s="6"/>
      <c r="U136" s="6"/>
      <c r="V136" s="4"/>
    </row>
    <row r="137" spans="1:22" ht="14.65" customHeight="1" x14ac:dyDescent="0.25">
      <c r="A137" s="39"/>
      <c r="B137" s="6"/>
      <c r="C137" s="5"/>
      <c r="D137" s="5"/>
      <c r="E137" s="6"/>
      <c r="F137" s="6"/>
      <c r="G137" s="6"/>
      <c r="H137" s="23" t="s">
        <v>382</v>
      </c>
      <c r="I137" s="24"/>
      <c r="J137" s="6"/>
      <c r="K137" s="6"/>
      <c r="L137" s="4"/>
      <c r="Q137" s="4"/>
      <c r="R137" s="23" t="str">
        <f t="shared" si="18"/>
        <v>recognize lease revenue]</v>
      </c>
      <c r="T137" s="42"/>
      <c r="U137" s="42"/>
      <c r="V137" s="4"/>
    </row>
    <row r="138" spans="1:22" ht="14.65" customHeight="1" x14ac:dyDescent="0.25">
      <c r="A138" s="39"/>
      <c r="B138" s="6"/>
      <c r="C138" s="5"/>
      <c r="D138" s="5"/>
      <c r="E138" s="6"/>
      <c r="F138" s="6"/>
      <c r="G138" s="6"/>
      <c r="H138" s="23"/>
      <c r="I138" s="24"/>
      <c r="J138" s="6"/>
      <c r="K138" s="6"/>
      <c r="L138" s="4"/>
      <c r="Q138" s="4"/>
      <c r="R138" s="23"/>
      <c r="T138" s="42"/>
      <c r="U138" s="42"/>
      <c r="V138" s="4"/>
    </row>
    <row r="139" spans="1:22" ht="14.65" customHeight="1" x14ac:dyDescent="0.25">
      <c r="A139" s="39"/>
      <c r="B139" s="6"/>
      <c r="C139" s="5"/>
      <c r="D139" s="5"/>
      <c r="E139" s="6"/>
      <c r="F139" s="6"/>
      <c r="G139" s="6"/>
      <c r="H139" s="6"/>
      <c r="I139" s="6"/>
      <c r="J139" s="6"/>
      <c r="K139" s="6"/>
      <c r="L139" s="4"/>
      <c r="Q139" s="4"/>
      <c r="R139" s="20"/>
      <c r="T139" s="42"/>
      <c r="U139" s="42"/>
      <c r="V139" s="4"/>
    </row>
    <row r="140" spans="1:22" s="15" customFormat="1" ht="14.65" customHeight="1" x14ac:dyDescent="0.25">
      <c r="A140" s="39" t="s">
        <v>390</v>
      </c>
      <c r="B140" s="6"/>
      <c r="C140" s="5"/>
      <c r="D140" s="27" t="s">
        <v>36</v>
      </c>
      <c r="E140" s="6"/>
      <c r="F140" s="6"/>
      <c r="G140" s="6"/>
      <c r="H140" s="6"/>
      <c r="I140" s="27" t="s">
        <v>36</v>
      </c>
      <c r="J140" s="6"/>
      <c r="K140" s="6"/>
      <c r="L140" s="4"/>
      <c r="M140" s="7" t="s">
        <v>24</v>
      </c>
      <c r="N140" s="24"/>
      <c r="O140" s="6">
        <f>+'Ex. 4 Calcs-County'!T24</f>
        <v>1320000</v>
      </c>
      <c r="P140" s="6"/>
      <c r="Q140" s="4"/>
      <c r="R140" s="24" t="str">
        <f t="shared" ref="R140" si="19">M140</f>
        <v>Depreciation expense</v>
      </c>
      <c r="S140" s="24"/>
      <c r="T140" s="6">
        <f t="shared" ref="T140" si="20">O140</f>
        <v>1320000</v>
      </c>
      <c r="U140" s="117"/>
      <c r="V140" s="4"/>
    </row>
    <row r="141" spans="1:22" s="15" customFormat="1" ht="14.65" customHeight="1" x14ac:dyDescent="0.25">
      <c r="A141" s="39"/>
      <c r="B141" s="6"/>
      <c r="C141" s="5"/>
      <c r="D141" s="5"/>
      <c r="E141" s="6"/>
      <c r="F141" s="6"/>
      <c r="G141" s="6"/>
      <c r="H141" s="6"/>
      <c r="I141" s="6"/>
      <c r="J141" s="6"/>
      <c r="K141" s="6"/>
      <c r="L141" s="4"/>
      <c r="M141" s="23"/>
      <c r="N141" s="24" t="s">
        <v>384</v>
      </c>
      <c r="O141" s="6"/>
      <c r="P141" s="6">
        <f>+O140</f>
        <v>1320000</v>
      </c>
      <c r="Q141" s="4"/>
      <c r="R141" s="24"/>
      <c r="S141" s="24" t="str">
        <f t="shared" ref="S141" si="21">N141</f>
        <v>Accumulated depreciation - office building</v>
      </c>
      <c r="T141" s="6"/>
      <c r="U141" s="117">
        <f t="shared" ref="U141" si="22">P141</f>
        <v>1320000</v>
      </c>
      <c r="V141" s="4"/>
    </row>
    <row r="142" spans="1:22" s="15" customFormat="1" ht="14.65" customHeight="1" x14ac:dyDescent="0.25">
      <c r="A142" s="39"/>
      <c r="B142" s="6"/>
      <c r="C142" s="5"/>
      <c r="D142" s="5"/>
      <c r="E142" s="6"/>
      <c r="F142" s="6"/>
      <c r="G142" s="6"/>
      <c r="H142" s="6"/>
      <c r="I142" s="6"/>
      <c r="J142" s="6"/>
      <c r="K142" s="6"/>
      <c r="L142" s="4"/>
      <c r="M142" s="23" t="s">
        <v>386</v>
      </c>
      <c r="N142" s="24"/>
      <c r="O142" s="6"/>
      <c r="P142" s="6"/>
      <c r="Q142" s="4"/>
      <c r="R142" s="23" t="str">
        <f t="shared" ref="R142" si="23">M142</f>
        <v>[To record annual depreciation of office building]</v>
      </c>
      <c r="S142" s="24"/>
      <c r="T142" s="6"/>
      <c r="U142" s="117"/>
      <c r="V142" s="4"/>
    </row>
    <row r="143" spans="1:22" ht="14.65" customHeight="1" x14ac:dyDescent="0.25">
      <c r="A143" s="39"/>
      <c r="B143" s="6"/>
      <c r="C143" s="5"/>
      <c r="D143" s="5"/>
      <c r="E143" s="6"/>
      <c r="F143" s="6"/>
      <c r="G143" s="6"/>
      <c r="H143" s="6"/>
      <c r="I143" s="6"/>
      <c r="J143" s="6"/>
      <c r="K143" s="6"/>
      <c r="L143" s="4"/>
      <c r="Q143" s="4"/>
      <c r="R143" s="20"/>
      <c r="T143" s="42"/>
      <c r="U143" s="42"/>
      <c r="V143" s="4"/>
    </row>
    <row r="144" spans="1:22" ht="14.65" customHeight="1" x14ac:dyDescent="0.25">
      <c r="A144" s="39"/>
      <c r="B144" s="6"/>
      <c r="C144" s="5"/>
      <c r="D144" s="5"/>
      <c r="E144" s="6"/>
      <c r="F144" s="6"/>
      <c r="G144" s="6"/>
      <c r="H144" s="6"/>
      <c r="I144" s="6"/>
      <c r="J144" s="6"/>
      <c r="K144" s="6"/>
      <c r="L144" s="4"/>
      <c r="Q144" s="4"/>
      <c r="R144" s="20"/>
      <c r="T144" s="42"/>
      <c r="U144" s="42"/>
      <c r="V144" s="4"/>
    </row>
    <row r="145" spans="1:22" s="15" customFormat="1" ht="14.65" customHeight="1" x14ac:dyDescent="0.25">
      <c r="A145" s="39" t="s">
        <v>391</v>
      </c>
      <c r="B145" s="6"/>
      <c r="C145" s="5"/>
      <c r="D145" s="27" t="s">
        <v>36</v>
      </c>
      <c r="E145" s="6"/>
      <c r="F145" s="6"/>
      <c r="G145" s="6"/>
      <c r="H145" s="6"/>
      <c r="I145" s="27" t="s">
        <v>36</v>
      </c>
      <c r="J145" s="6"/>
      <c r="K145" s="6"/>
      <c r="L145" s="4"/>
      <c r="M145" s="15" t="s">
        <v>434</v>
      </c>
      <c r="O145" s="6">
        <f>ROUND(+'Ex. 4 Calcs-County'!D25,0)</f>
        <v>2393620</v>
      </c>
      <c r="P145" s="117"/>
      <c r="R145" s="15" t="str">
        <f t="shared" ref="R145" si="24">M145</f>
        <v>Lease interest receivable</v>
      </c>
      <c r="T145" s="6">
        <f t="shared" ref="T145" si="25">O145</f>
        <v>2393620</v>
      </c>
      <c r="U145" s="6"/>
      <c r="V145" s="4"/>
    </row>
    <row r="146" spans="1:22" s="15" customFormat="1" ht="14.65" customHeight="1" x14ac:dyDescent="0.25">
      <c r="A146" s="39"/>
      <c r="B146" s="6"/>
      <c r="C146" s="5"/>
      <c r="D146" s="5"/>
      <c r="E146" s="6"/>
      <c r="F146" s="6"/>
      <c r="G146" s="6"/>
      <c r="H146" s="6"/>
      <c r="I146" s="6"/>
      <c r="J146" s="6"/>
      <c r="K146" s="6"/>
      <c r="L146" s="4"/>
      <c r="N146" s="15" t="s">
        <v>436</v>
      </c>
      <c r="O146" s="117"/>
      <c r="P146" s="117">
        <f>+O145</f>
        <v>2393620</v>
      </c>
      <c r="S146" s="15" t="str">
        <f t="shared" ref="S146" si="26">N146</f>
        <v>Lease interest income</v>
      </c>
      <c r="T146" s="6"/>
      <c r="U146" s="6">
        <f t="shared" ref="U146" si="27">P146</f>
        <v>2393620</v>
      </c>
      <c r="V146" s="4"/>
    </row>
    <row r="147" spans="1:22" s="15" customFormat="1" ht="14.65" customHeight="1" x14ac:dyDescent="0.25">
      <c r="A147" s="39"/>
      <c r="B147" s="6"/>
      <c r="C147" s="5"/>
      <c r="D147" s="5"/>
      <c r="E147" s="6"/>
      <c r="F147" s="6"/>
      <c r="G147" s="6"/>
      <c r="H147" s="6"/>
      <c r="I147" s="6"/>
      <c r="J147" s="6"/>
      <c r="K147" s="6"/>
      <c r="L147" s="4"/>
      <c r="M147" s="230" t="s">
        <v>437</v>
      </c>
      <c r="O147" s="117"/>
      <c r="P147" s="117"/>
      <c r="R147" s="230" t="str">
        <f t="shared" ref="R147" si="28">M147</f>
        <v>[To record accrual of lease interest receivable at FYE]</v>
      </c>
      <c r="T147" s="6"/>
      <c r="U147" s="6"/>
      <c r="V147" s="4"/>
    </row>
    <row r="148" spans="1:22" ht="14.65" customHeight="1" x14ac:dyDescent="0.25">
      <c r="A148" s="39"/>
      <c r="B148" s="6"/>
      <c r="C148" s="5"/>
      <c r="D148" s="5"/>
      <c r="E148" s="6"/>
      <c r="F148" s="6"/>
      <c r="G148" s="6"/>
      <c r="H148" s="6"/>
      <c r="I148" s="6"/>
      <c r="J148" s="6"/>
      <c r="K148" s="6"/>
      <c r="L148" s="4"/>
      <c r="Q148" s="4"/>
      <c r="R148" s="20"/>
      <c r="T148" s="42"/>
      <c r="U148" s="42"/>
      <c r="V148" s="4"/>
    </row>
    <row r="149" spans="1:22" ht="14.65" customHeight="1" x14ac:dyDescent="0.25">
      <c r="A149" s="39"/>
      <c r="B149" s="6"/>
      <c r="C149" s="5"/>
      <c r="D149" s="5"/>
      <c r="E149" s="6"/>
      <c r="F149" s="6"/>
      <c r="G149" s="6"/>
      <c r="H149" s="6"/>
      <c r="I149" s="6"/>
      <c r="J149" s="6"/>
      <c r="K149" s="6"/>
      <c r="L149" s="4"/>
      <c r="Q149" s="4"/>
      <c r="R149" s="20"/>
      <c r="T149" s="42"/>
      <c r="U149" s="42"/>
      <c r="V149" s="4"/>
    </row>
    <row r="150" spans="1:22" s="27" customFormat="1" x14ac:dyDescent="0.25">
      <c r="A150" s="43" t="s">
        <v>439</v>
      </c>
      <c r="B150" s="182"/>
      <c r="C150" s="191"/>
      <c r="D150" s="27" t="s">
        <v>36</v>
      </c>
      <c r="E150" s="182"/>
      <c r="F150" s="182"/>
      <c r="G150" s="182"/>
      <c r="H150" s="182"/>
      <c r="I150" s="27" t="s">
        <v>36</v>
      </c>
      <c r="J150" s="182"/>
      <c r="K150" s="182"/>
      <c r="L150" s="183"/>
      <c r="M150" s="7" t="s">
        <v>344</v>
      </c>
      <c r="N150" s="7"/>
      <c r="O150" s="182">
        <f>+P151+P152</f>
        <v>4775304</v>
      </c>
      <c r="P150" s="182"/>
      <c r="Q150" s="183"/>
      <c r="R150" s="7" t="str">
        <f t="shared" ref="R150" si="29">M150</f>
        <v>Bond interest expense</v>
      </c>
      <c r="S150" s="7"/>
      <c r="T150" s="182">
        <f>O150</f>
        <v>4775304</v>
      </c>
      <c r="U150" s="182"/>
      <c r="V150" s="182"/>
    </row>
    <row r="151" spans="1:22" s="15" customFormat="1" ht="14.25" customHeight="1" x14ac:dyDescent="0.25">
      <c r="A151" s="39"/>
      <c r="B151" s="6"/>
      <c r="C151" s="5"/>
      <c r="D151" s="5"/>
      <c r="E151" s="6"/>
      <c r="F151" s="6"/>
      <c r="G151" s="6"/>
      <c r="H151" s="6"/>
      <c r="I151" s="6"/>
      <c r="J151" s="6"/>
      <c r="K151" s="6"/>
      <c r="L151" s="4"/>
      <c r="M151" s="23"/>
      <c r="N151" s="7" t="s">
        <v>28</v>
      </c>
      <c r="O151" s="182"/>
      <c r="P151" s="182">
        <f>+'Example 4 Assumptions Summary'!D36</f>
        <v>4741198</v>
      </c>
      <c r="Q151" s="183"/>
      <c r="R151" s="7"/>
      <c r="S151" s="7" t="str">
        <f t="shared" ref="S151" si="30">N151</f>
        <v>Interest payable</v>
      </c>
      <c r="T151" s="182"/>
      <c r="U151" s="182">
        <f>P151</f>
        <v>4741198</v>
      </c>
      <c r="V151" s="4"/>
    </row>
    <row r="152" spans="1:22" s="15" customFormat="1" ht="14.25" customHeight="1" x14ac:dyDescent="0.25">
      <c r="A152" s="39"/>
      <c r="B152" s="6"/>
      <c r="C152" s="5"/>
      <c r="D152" s="5"/>
      <c r="E152" s="6"/>
      <c r="F152" s="6"/>
      <c r="G152" s="6"/>
      <c r="H152" s="6"/>
      <c r="I152" s="6"/>
      <c r="J152" s="6"/>
      <c r="K152" s="6"/>
      <c r="L152" s="4"/>
      <c r="M152" s="23"/>
      <c r="N152" s="3" t="s">
        <v>334</v>
      </c>
      <c r="O152" s="19"/>
      <c r="P152" s="19">
        <f>ROUND(+'Example 4 Assumptions Summary'!G36,0)</f>
        <v>34106</v>
      </c>
      <c r="Q152" s="183"/>
      <c r="R152" s="7"/>
      <c r="S152" s="7" t="str">
        <f>+N152</f>
        <v>Discount on bonds payable</v>
      </c>
      <c r="T152" s="182"/>
      <c r="U152" s="182">
        <f>+P152</f>
        <v>34106</v>
      </c>
      <c r="V152" s="4"/>
    </row>
    <row r="153" spans="1:22" s="15" customFormat="1" ht="14.25" customHeight="1" x14ac:dyDescent="0.25">
      <c r="A153" s="39"/>
      <c r="B153" s="6"/>
      <c r="C153" s="5"/>
      <c r="D153" s="5"/>
      <c r="E153" s="6"/>
      <c r="F153" s="6"/>
      <c r="G153" s="6"/>
      <c r="H153" s="6"/>
      <c r="I153" s="6"/>
      <c r="J153" s="6"/>
      <c r="K153" s="6"/>
      <c r="L153" s="4"/>
      <c r="M153" s="23" t="s">
        <v>831</v>
      </c>
      <c r="N153" s="23"/>
      <c r="O153" s="6"/>
      <c r="P153" s="6"/>
      <c r="Q153" s="4"/>
      <c r="R153" s="22" t="str">
        <f t="shared" ref="R153:R154" si="31">M153</f>
        <v>[To record accrual of bond interest payable and amortization of</v>
      </c>
      <c r="S153" s="23"/>
      <c r="T153" s="6"/>
      <c r="U153" s="117"/>
      <c r="V153" s="4"/>
    </row>
    <row r="154" spans="1:22" s="15" customFormat="1" ht="14.65" customHeight="1" x14ac:dyDescent="0.25">
      <c r="A154" s="39"/>
      <c r="B154" s="6"/>
      <c r="C154" s="5"/>
      <c r="D154" s="5"/>
      <c r="E154" s="6"/>
      <c r="F154" s="6"/>
      <c r="G154" s="6"/>
      <c r="H154" s="6"/>
      <c r="I154" s="6"/>
      <c r="J154" s="6"/>
      <c r="K154" s="6"/>
      <c r="L154" s="4"/>
      <c r="M154" s="23" t="s">
        <v>361</v>
      </c>
      <c r="N154" s="24"/>
      <c r="O154" s="6"/>
      <c r="P154" s="6"/>
      <c r="Q154" s="4"/>
      <c r="R154" s="24" t="str">
        <f t="shared" si="31"/>
        <v>discount on bond payable]</v>
      </c>
      <c r="S154" s="24"/>
      <c r="T154" s="6"/>
      <c r="U154" s="117"/>
      <c r="V154" s="4"/>
    </row>
    <row r="155" spans="1:22" s="15" customFormat="1" ht="14.65" customHeight="1" x14ac:dyDescent="0.25">
      <c r="A155" s="39"/>
      <c r="B155" s="6"/>
      <c r="C155" s="5"/>
      <c r="D155" s="5"/>
      <c r="E155" s="6"/>
      <c r="F155" s="6"/>
      <c r="G155" s="6"/>
      <c r="H155" s="6"/>
      <c r="I155" s="6"/>
      <c r="J155" s="6"/>
      <c r="K155" s="6"/>
      <c r="L155" s="4"/>
      <c r="M155" s="23"/>
      <c r="N155" s="24"/>
      <c r="O155" s="6"/>
      <c r="P155" s="6"/>
      <c r="Q155" s="4"/>
      <c r="R155" s="24"/>
      <c r="S155" s="24"/>
      <c r="T155" s="6"/>
      <c r="U155" s="117"/>
      <c r="V155" s="4"/>
    </row>
    <row r="156" spans="1:22" s="15" customFormat="1" ht="14.65" customHeight="1" thickBot="1" x14ac:dyDescent="0.3">
      <c r="A156" s="39"/>
      <c r="B156" s="6"/>
      <c r="C156" s="5"/>
      <c r="D156" s="5"/>
      <c r="E156" s="6"/>
      <c r="F156" s="6"/>
      <c r="G156" s="6"/>
      <c r="H156" s="6"/>
      <c r="I156" s="6"/>
      <c r="J156" s="6"/>
      <c r="K156" s="6"/>
      <c r="L156" s="4"/>
      <c r="M156" s="23"/>
      <c r="N156" s="24"/>
      <c r="O156" s="6"/>
      <c r="P156" s="6"/>
      <c r="Q156" s="4"/>
      <c r="R156" s="24"/>
      <c r="S156" s="24"/>
      <c r="T156" s="6"/>
      <c r="U156" s="117"/>
      <c r="V156" s="4"/>
    </row>
    <row r="157" spans="1:22" s="75" customFormat="1" ht="14.65" customHeight="1" thickBot="1" x14ac:dyDescent="0.3">
      <c r="A157" s="224"/>
      <c r="B157" s="225"/>
      <c r="C157" s="229" t="s">
        <v>834</v>
      </c>
      <c r="D157" s="226"/>
      <c r="E157" s="226"/>
      <c r="F157" s="227"/>
      <c r="G157" s="225"/>
      <c r="H157" s="229" t="s">
        <v>834</v>
      </c>
      <c r="I157" s="226"/>
      <c r="J157" s="226"/>
      <c r="K157" s="227"/>
      <c r="L157" s="183"/>
      <c r="M157" s="229" t="s">
        <v>834</v>
      </c>
      <c r="N157" s="226"/>
      <c r="O157" s="226"/>
      <c r="P157" s="227"/>
      <c r="Q157" s="183"/>
      <c r="R157" s="229" t="s">
        <v>834</v>
      </c>
      <c r="S157" s="226"/>
      <c r="T157" s="226"/>
      <c r="U157" s="227"/>
      <c r="V157" s="183"/>
    </row>
    <row r="158" spans="1:22" s="15" customFormat="1" ht="14.65" customHeight="1" x14ac:dyDescent="0.25">
      <c r="A158" s="39"/>
      <c r="B158" s="6"/>
      <c r="C158" s="5"/>
      <c r="D158" s="5"/>
      <c r="E158" s="6"/>
      <c r="F158" s="6"/>
      <c r="G158" s="6"/>
      <c r="H158" s="6"/>
      <c r="I158" s="6"/>
      <c r="J158" s="6"/>
      <c r="K158" s="6"/>
      <c r="L158" s="4"/>
      <c r="N158" s="75"/>
      <c r="O158" s="118"/>
      <c r="P158" s="118"/>
      <c r="Q158" s="4"/>
      <c r="R158" s="7"/>
      <c r="S158" s="75"/>
      <c r="T158" s="117"/>
      <c r="U158" s="117"/>
      <c r="V158" s="4"/>
    </row>
    <row r="159" spans="1:22" ht="14.25" customHeight="1" x14ac:dyDescent="0.25">
      <c r="A159" s="186" t="s">
        <v>416</v>
      </c>
      <c r="B159" s="3"/>
      <c r="C159" s="116"/>
      <c r="D159" s="116"/>
      <c r="E159" s="3"/>
      <c r="F159" s="3"/>
      <c r="G159" s="3"/>
      <c r="H159" s="3"/>
      <c r="I159" s="3"/>
      <c r="J159" s="3"/>
      <c r="K159" s="3"/>
      <c r="O159" s="42"/>
      <c r="P159" s="42"/>
      <c r="T159" s="6"/>
      <c r="U159" s="42"/>
      <c r="V159" s="4"/>
    </row>
    <row r="160" spans="1:22" ht="14.25" customHeight="1" x14ac:dyDescent="0.25">
      <c r="A160" s="39" t="s">
        <v>417</v>
      </c>
      <c r="B160" s="3"/>
      <c r="C160" s="116"/>
      <c r="D160" s="27" t="s">
        <v>36</v>
      </c>
      <c r="E160" s="3"/>
      <c r="F160" s="3"/>
      <c r="G160" s="3"/>
      <c r="H160" s="3" t="s">
        <v>2</v>
      </c>
      <c r="I160" s="3"/>
      <c r="J160" s="6">
        <f>ROUND(+'Ex. 4 Calcs-County'!C30,0)</f>
        <v>2612930</v>
      </c>
      <c r="K160" s="3"/>
      <c r="M160" s="3" t="str">
        <f>+I162</f>
        <v>Revenue - lease interest</v>
      </c>
      <c r="O160" s="42">
        <f>+K162</f>
        <v>2303536</v>
      </c>
      <c r="P160" s="42"/>
      <c r="R160" s="3" t="str">
        <f>+H160</f>
        <v>Cash</v>
      </c>
      <c r="T160" s="6">
        <f>+J160</f>
        <v>2612930</v>
      </c>
      <c r="U160" s="42"/>
      <c r="V160" s="4"/>
    </row>
    <row r="161" spans="1:22" ht="14.25" customHeight="1" x14ac:dyDescent="0.25">
      <c r="A161" s="111"/>
      <c r="B161" s="3"/>
      <c r="C161" s="116"/>
      <c r="D161" s="116"/>
      <c r="E161" s="3"/>
      <c r="F161" s="3"/>
      <c r="G161" s="3"/>
      <c r="H161" s="3"/>
      <c r="I161" s="3" t="s">
        <v>48</v>
      </c>
      <c r="J161" s="6"/>
      <c r="K161" s="6">
        <f>ROUND(+'Ex. 4 Calcs-County'!E30,0)</f>
        <v>309394</v>
      </c>
      <c r="N161" s="3" t="s">
        <v>434</v>
      </c>
      <c r="O161" s="42"/>
      <c r="P161" s="42">
        <f>ROUND(+'Ex. 4 Calcs-County'!D30,0)</f>
        <v>2303536</v>
      </c>
      <c r="S161" s="3" t="str">
        <f>+I161</f>
        <v>Lease receivable</v>
      </c>
      <c r="T161" s="6"/>
      <c r="U161" s="42">
        <f>+K161</f>
        <v>309394</v>
      </c>
      <c r="V161" s="4"/>
    </row>
    <row r="162" spans="1:22" ht="14.25" customHeight="1" x14ac:dyDescent="0.25">
      <c r="A162" s="111"/>
      <c r="B162" s="3"/>
      <c r="C162" s="116"/>
      <c r="D162" s="116"/>
      <c r="E162" s="3"/>
      <c r="F162" s="3"/>
      <c r="G162" s="3"/>
      <c r="H162" s="3"/>
      <c r="I162" s="3" t="s">
        <v>432</v>
      </c>
      <c r="J162" s="6"/>
      <c r="K162" s="6">
        <f>ROUND(+'Ex. 4 Calcs-County'!D30,0)</f>
        <v>2303536</v>
      </c>
      <c r="O162" s="42"/>
      <c r="P162" s="42"/>
      <c r="S162" s="3" t="str">
        <f>+N161</f>
        <v>Lease interest receivable</v>
      </c>
      <c r="T162" s="6"/>
      <c r="U162" s="42">
        <f>+P161</f>
        <v>2303536</v>
      </c>
      <c r="V162" s="4"/>
    </row>
    <row r="163" spans="1:22" ht="14.25" customHeight="1" x14ac:dyDescent="0.25">
      <c r="A163" s="111"/>
      <c r="B163" s="3"/>
      <c r="C163" s="116"/>
      <c r="D163" s="116"/>
      <c r="E163" s="3"/>
      <c r="F163" s="3"/>
      <c r="G163" s="3"/>
      <c r="H163" s="20" t="s">
        <v>433</v>
      </c>
      <c r="I163" s="3"/>
      <c r="J163" s="6"/>
      <c r="K163" s="6"/>
      <c r="O163" s="42"/>
      <c r="P163" s="42"/>
      <c r="R163" s="20" t="str">
        <f>+H163</f>
        <v>[To record receipt of annual lease payment]</v>
      </c>
      <c r="T163" s="3"/>
      <c r="U163" s="3"/>
      <c r="V163" s="4"/>
    </row>
    <row r="164" spans="1:22" ht="14.25" customHeight="1" x14ac:dyDescent="0.25">
      <c r="A164" s="111"/>
      <c r="B164" s="3"/>
      <c r="C164" s="116"/>
      <c r="D164" s="116"/>
      <c r="E164" s="3"/>
      <c r="F164" s="3"/>
      <c r="G164" s="3"/>
      <c r="H164" s="3"/>
      <c r="I164" s="3"/>
      <c r="J164" s="3"/>
      <c r="K164" s="3"/>
      <c r="O164" s="42"/>
      <c r="P164" s="42"/>
      <c r="T164" s="6"/>
      <c r="U164" s="42"/>
      <c r="V164" s="4"/>
    </row>
    <row r="165" spans="1:22" ht="14.25" customHeight="1" x14ac:dyDescent="0.25">
      <c r="A165" s="111"/>
      <c r="B165" s="3"/>
      <c r="C165" s="116"/>
      <c r="D165" s="116"/>
      <c r="E165" s="3"/>
      <c r="F165" s="3"/>
      <c r="G165" s="3"/>
      <c r="H165" s="3"/>
      <c r="I165" s="3"/>
      <c r="J165" s="3"/>
      <c r="K165" s="3"/>
      <c r="O165" s="42"/>
      <c r="P165" s="42"/>
      <c r="T165" s="6"/>
      <c r="U165" s="42"/>
      <c r="V165" s="4"/>
    </row>
    <row r="166" spans="1:22" ht="14.65" customHeight="1" x14ac:dyDescent="0.25">
      <c r="A166" s="39" t="s">
        <v>419</v>
      </c>
      <c r="B166" s="182"/>
      <c r="C166" s="191"/>
      <c r="D166" s="27" t="s">
        <v>36</v>
      </c>
      <c r="E166" s="6"/>
      <c r="F166" s="6"/>
      <c r="G166" s="6"/>
      <c r="H166" s="21" t="s">
        <v>393</v>
      </c>
      <c r="I166" s="22"/>
      <c r="J166" s="6">
        <f>ROUND(+'Example 4 Assumptions Summary'!E41,0)</f>
        <v>612838</v>
      </c>
      <c r="K166" s="6"/>
      <c r="L166" s="4"/>
      <c r="M166" s="3" t="s">
        <v>335</v>
      </c>
      <c r="O166" s="19">
        <f>+P168</f>
        <v>612838</v>
      </c>
      <c r="Q166" s="4"/>
      <c r="R166" s="7" t="str">
        <f>+M166</f>
        <v>Bonds payable</v>
      </c>
      <c r="S166" s="27"/>
      <c r="T166" s="42">
        <f>+O166</f>
        <v>612838</v>
      </c>
      <c r="U166" s="42"/>
      <c r="V166" s="4"/>
    </row>
    <row r="167" spans="1:22" ht="14.65" customHeight="1" x14ac:dyDescent="0.25">
      <c r="A167" s="39"/>
      <c r="B167" s="6"/>
      <c r="C167" s="5"/>
      <c r="D167" s="5"/>
      <c r="E167" s="6"/>
      <c r="F167" s="6"/>
      <c r="G167" s="6"/>
      <c r="H167" s="21" t="s">
        <v>394</v>
      </c>
      <c r="I167" s="22"/>
      <c r="J167" s="6">
        <f>ROUND(+'Example 4 Assumptions Summary'!D41,0)</f>
        <v>4562762</v>
      </c>
      <c r="K167" s="6"/>
      <c r="L167" s="4"/>
      <c r="M167" s="3" t="s">
        <v>28</v>
      </c>
      <c r="O167" s="19">
        <f>+P169</f>
        <v>4562762</v>
      </c>
      <c r="Q167" s="4"/>
      <c r="R167" s="7" t="str">
        <f>+M167</f>
        <v>Interest payable</v>
      </c>
      <c r="T167" s="42">
        <f>+O167</f>
        <v>4562762</v>
      </c>
      <c r="U167" s="42"/>
      <c r="V167" s="4"/>
    </row>
    <row r="168" spans="1:22" ht="14.65" customHeight="1" x14ac:dyDescent="0.25">
      <c r="A168" s="39"/>
      <c r="B168" s="6"/>
      <c r="C168" s="5"/>
      <c r="D168" s="5"/>
      <c r="E168" s="6"/>
      <c r="F168" s="6"/>
      <c r="G168" s="6"/>
      <c r="H168" s="25"/>
      <c r="I168" s="3" t="s">
        <v>2</v>
      </c>
      <c r="J168" s="6"/>
      <c r="K168" s="6">
        <f>ROUND(+'Example 4 Assumptions Summary'!C41,0)</f>
        <v>5175600</v>
      </c>
      <c r="L168" s="4"/>
      <c r="N168" s="3" t="str">
        <f>+H166</f>
        <v>Debt service - bond principal payment (gen long-term debt)</v>
      </c>
      <c r="P168" s="19">
        <f>+J166</f>
        <v>612838</v>
      </c>
      <c r="Q168" s="4"/>
      <c r="R168" s="7"/>
      <c r="S168" s="3" t="str">
        <f>+I168</f>
        <v>Cash</v>
      </c>
      <c r="T168" s="42"/>
      <c r="U168" s="42">
        <f>+K168</f>
        <v>5175600</v>
      </c>
      <c r="V168" s="4"/>
    </row>
    <row r="169" spans="1:22" ht="14.25" customHeight="1" x14ac:dyDescent="0.25">
      <c r="A169" s="39"/>
      <c r="B169" s="6"/>
      <c r="C169" s="5"/>
      <c r="D169" s="5"/>
      <c r="E169" s="6"/>
      <c r="F169" s="6"/>
      <c r="G169" s="6"/>
      <c r="H169" s="23" t="s">
        <v>355</v>
      </c>
      <c r="I169" s="24"/>
      <c r="J169" s="6"/>
      <c r="K169" s="6"/>
      <c r="L169" s="4"/>
      <c r="N169" s="3" t="str">
        <f>+H167</f>
        <v xml:space="preserve">Debt service - bond Interest </v>
      </c>
      <c r="P169" s="19">
        <f>+J167</f>
        <v>4562762</v>
      </c>
      <c r="Q169" s="4"/>
      <c r="R169" s="23" t="str">
        <f>$H$37</f>
        <v>[To record annual bond debt service payment made]</v>
      </c>
      <c r="T169" s="42"/>
      <c r="U169" s="42"/>
      <c r="V169" s="4"/>
    </row>
    <row r="172" spans="1:22" s="16" customFormat="1" ht="14.65" customHeight="1" x14ac:dyDescent="0.25">
      <c r="A172" s="203" t="s">
        <v>420</v>
      </c>
      <c r="B172" s="6"/>
      <c r="C172" s="5"/>
      <c r="D172" s="206" t="s">
        <v>36</v>
      </c>
      <c r="E172" s="6"/>
      <c r="F172" s="6"/>
      <c r="G172" s="6"/>
      <c r="H172" s="7" t="s">
        <v>2</v>
      </c>
      <c r="I172" s="24"/>
      <c r="J172" s="6">
        <f>ROUND(+'Example 4 Assumptions Summary'!M18,0)</f>
        <v>485000</v>
      </c>
      <c r="K172" s="6"/>
      <c r="L172" s="4"/>
      <c r="M172" s="16" t="s">
        <v>395</v>
      </c>
      <c r="O172" s="200">
        <f>+'Example 4 Assumptions Summary'!L13</f>
        <v>63425925</v>
      </c>
      <c r="P172" s="200"/>
      <c r="Q172" s="4"/>
      <c r="R172" s="7" t="str">
        <f>+H172</f>
        <v>Cash</v>
      </c>
      <c r="T172" s="201">
        <f>+J172</f>
        <v>485000</v>
      </c>
      <c r="U172" s="201"/>
      <c r="V172" s="4"/>
    </row>
    <row r="173" spans="1:22" s="16" customFormat="1" ht="14.65" customHeight="1" x14ac:dyDescent="0.25">
      <c r="A173" s="203"/>
      <c r="B173" s="6"/>
      <c r="C173" s="5"/>
      <c r="D173" s="206"/>
      <c r="E173" s="6"/>
      <c r="F173" s="6"/>
      <c r="G173" s="6"/>
      <c r="H173" s="7" t="s">
        <v>784</v>
      </c>
      <c r="I173" s="24"/>
      <c r="J173" s="6">
        <f>ROUND(+'Example 4 Assumptions Summary'!L5+'Example 4 Assumptions Summary'!L6,0)</f>
        <v>64694444</v>
      </c>
      <c r="K173" s="6"/>
      <c r="L173" s="4"/>
      <c r="M173" s="16" t="s">
        <v>406</v>
      </c>
      <c r="O173" s="200">
        <f>ROUND(+'Example 4 Assumptions Summary'!M16,0)</f>
        <v>1929188</v>
      </c>
      <c r="P173" s="200"/>
      <c r="Q173" s="4"/>
      <c r="R173" s="16" t="s">
        <v>333</v>
      </c>
      <c r="T173" s="119">
        <f>+J174</f>
        <v>1681640</v>
      </c>
      <c r="U173" s="201"/>
      <c r="V173" s="4"/>
    </row>
    <row r="174" spans="1:22" s="16" customFormat="1" ht="14.65" customHeight="1" x14ac:dyDescent="0.25">
      <c r="A174" s="203"/>
      <c r="B174" s="6"/>
      <c r="C174" s="5"/>
      <c r="D174" s="206"/>
      <c r="E174" s="6"/>
      <c r="F174" s="6"/>
      <c r="G174" s="6"/>
      <c r="H174" s="7" t="str">
        <f>+C8</f>
        <v>Expenditure (expense) - bond issuance costs</v>
      </c>
      <c r="I174" s="24"/>
      <c r="J174" s="6">
        <f>ROUND(+'Example 4 Assumptions Summary'!M8+'Example 4 Assumptions Summary'!M9,0)</f>
        <v>1681640</v>
      </c>
      <c r="K174" s="6"/>
      <c r="L174" s="4"/>
      <c r="M174" s="16" t="str">
        <f>+I175</f>
        <v>Other financing source - refunding bonds</v>
      </c>
      <c r="O174" s="201">
        <f>+K175</f>
        <v>66376084</v>
      </c>
      <c r="P174" s="201"/>
      <c r="Q174" s="4"/>
      <c r="R174" s="7" t="str">
        <f>+M172</f>
        <v>Bonds payable (old)</v>
      </c>
      <c r="T174" s="201">
        <f>+O172</f>
        <v>63425925</v>
      </c>
      <c r="U174" s="201"/>
      <c r="V174" s="4"/>
    </row>
    <row r="175" spans="1:22" s="16" customFormat="1" ht="14.65" customHeight="1" x14ac:dyDescent="0.25">
      <c r="A175" s="203"/>
      <c r="B175" s="6"/>
      <c r="C175" s="5"/>
      <c r="D175" s="206"/>
      <c r="E175" s="6"/>
      <c r="F175" s="6"/>
      <c r="G175" s="6"/>
      <c r="H175" s="23"/>
      <c r="I175" s="24" t="s">
        <v>396</v>
      </c>
      <c r="J175" s="6"/>
      <c r="K175" s="6">
        <f>ROUND(+'Example 4 Assumptions Summary'!M10,0)</f>
        <v>66376084</v>
      </c>
      <c r="L175" s="4"/>
      <c r="M175" s="16" t="str">
        <f>+I176</f>
        <v>Other financing source - bond premium</v>
      </c>
      <c r="O175" s="201">
        <f>+K176</f>
        <v>485000</v>
      </c>
      <c r="P175" s="201"/>
      <c r="Q175" s="4"/>
      <c r="R175" s="7" t="str">
        <f>+M173</f>
        <v>Deferred outflow of resources from refinancing</v>
      </c>
      <c r="T175" s="201">
        <f>+O173</f>
        <v>1929188</v>
      </c>
      <c r="U175" s="201"/>
      <c r="V175" s="4"/>
    </row>
    <row r="176" spans="1:22" s="16" customFormat="1" ht="14.65" customHeight="1" x14ac:dyDescent="0.25">
      <c r="A176" s="203"/>
      <c r="B176" s="6"/>
      <c r="C176" s="5"/>
      <c r="D176" s="206"/>
      <c r="E176" s="6"/>
      <c r="F176" s="6"/>
      <c r="G176" s="6"/>
      <c r="H176" s="23"/>
      <c r="I176" s="24" t="s">
        <v>410</v>
      </c>
      <c r="J176" s="6"/>
      <c r="K176" s="6">
        <f>+'Example 4 Assumptions Summary'!M18</f>
        <v>485000</v>
      </c>
      <c r="L176" s="4"/>
      <c r="N176" s="16" t="s">
        <v>785</v>
      </c>
      <c r="O176" s="19"/>
      <c r="P176" s="200">
        <f>+J173</f>
        <v>64694444</v>
      </c>
      <c r="S176" s="16" t="str">
        <f>+N177</f>
        <v>Discount on bonds payable (old)</v>
      </c>
      <c r="T176" s="201"/>
      <c r="U176" s="201">
        <f>+P177</f>
        <v>660669</v>
      </c>
      <c r="V176" s="4"/>
    </row>
    <row r="177" spans="1:22" s="16" customFormat="1" ht="14.65" customHeight="1" x14ac:dyDescent="0.25">
      <c r="A177" s="203"/>
      <c r="B177" s="6"/>
      <c r="C177" s="5"/>
      <c r="D177" s="5"/>
      <c r="E177" s="6"/>
      <c r="F177" s="6"/>
      <c r="G177" s="6"/>
      <c r="H177" s="23" t="s">
        <v>799</v>
      </c>
      <c r="I177" s="24"/>
      <c r="J177" s="6"/>
      <c r="K177" s="6"/>
      <c r="L177" s="4"/>
      <c r="N177" s="16" t="s">
        <v>412</v>
      </c>
      <c r="O177" s="200"/>
      <c r="P177" s="200">
        <f>-ROUND('Example 4 Assumptions Summary'!L14,0)</f>
        <v>660669</v>
      </c>
      <c r="Q177" s="4"/>
      <c r="R177" s="23"/>
      <c r="S177" s="16" t="str">
        <f>+N178</f>
        <v>Bonds payable (refunding)</v>
      </c>
      <c r="U177" s="201">
        <f>+P178</f>
        <v>66376084</v>
      </c>
      <c r="V177" s="4"/>
    </row>
    <row r="178" spans="1:22" ht="14.65" customHeight="1" x14ac:dyDescent="0.25">
      <c r="A178" s="39"/>
      <c r="B178" s="6"/>
      <c r="C178" s="5"/>
      <c r="D178" s="5"/>
      <c r="E178" s="6"/>
      <c r="F178" s="6"/>
      <c r="G178" s="6"/>
      <c r="H178" s="23"/>
      <c r="I178" s="24"/>
      <c r="J178" s="6"/>
      <c r="K178" s="6"/>
      <c r="L178" s="4"/>
      <c r="M178" s="16"/>
      <c r="N178" s="16" t="s">
        <v>408</v>
      </c>
      <c r="O178" s="200"/>
      <c r="P178" s="200">
        <f>ROUND(+'Example 4 Assumptions Summary'!M10,0)</f>
        <v>66376084</v>
      </c>
      <c r="Q178" s="4"/>
      <c r="R178" s="23"/>
      <c r="S178" s="16" t="str">
        <f>+N179</f>
        <v>Premium on bonds payable  (refunding)</v>
      </c>
      <c r="T178" s="201"/>
      <c r="U178" s="201">
        <f>+P179</f>
        <v>485000</v>
      </c>
      <c r="V178" s="4"/>
    </row>
    <row r="179" spans="1:22" ht="14.65" customHeight="1" x14ac:dyDescent="0.25">
      <c r="A179" s="39"/>
      <c r="B179" s="6"/>
      <c r="C179" s="5"/>
      <c r="D179" s="5"/>
      <c r="E179" s="6"/>
      <c r="F179" s="6"/>
      <c r="G179" s="6"/>
      <c r="H179" s="3"/>
      <c r="I179" s="3"/>
      <c r="J179" s="3"/>
      <c r="K179" s="3"/>
      <c r="L179" s="4"/>
      <c r="N179" s="16" t="s">
        <v>411</v>
      </c>
      <c r="O179" s="200"/>
      <c r="P179" s="200">
        <f>+'Example 4 Assumptions Summary'!M18</f>
        <v>485000</v>
      </c>
      <c r="Q179" s="4"/>
      <c r="R179" s="23" t="str">
        <f>+H177</f>
        <v>[To record issuance of refunding bonds and redemption]</v>
      </c>
      <c r="T179" s="42"/>
      <c r="U179" s="42"/>
      <c r="V179" s="4"/>
    </row>
    <row r="180" spans="1:22" ht="14.65" customHeight="1" x14ac:dyDescent="0.25">
      <c r="A180" s="39"/>
      <c r="B180" s="6"/>
      <c r="C180" s="5"/>
      <c r="D180" s="5"/>
      <c r="E180" s="6"/>
      <c r="F180" s="6"/>
      <c r="G180" s="6"/>
      <c r="H180" s="3"/>
      <c r="I180" s="3"/>
      <c r="J180" s="3"/>
      <c r="K180" s="3"/>
      <c r="L180" s="4"/>
      <c r="N180" s="16"/>
      <c r="O180" s="200"/>
      <c r="P180" s="200"/>
      <c r="Q180" s="4"/>
      <c r="R180" s="23"/>
      <c r="T180" s="42"/>
      <c r="U180" s="42"/>
      <c r="V180" s="4"/>
    </row>
    <row r="181" spans="1:22" ht="14.65" customHeight="1" x14ac:dyDescent="0.25">
      <c r="A181" s="39"/>
      <c r="B181" s="6"/>
      <c r="C181" s="5"/>
      <c r="D181" s="5"/>
      <c r="E181" s="6"/>
      <c r="F181" s="6"/>
      <c r="G181" s="6"/>
      <c r="H181" s="3"/>
      <c r="I181" s="3"/>
      <c r="J181" s="3"/>
      <c r="K181" s="3"/>
      <c r="L181" s="4"/>
      <c r="N181" s="16"/>
      <c r="O181" s="200"/>
      <c r="P181" s="200"/>
      <c r="Q181" s="4"/>
      <c r="R181" s="23"/>
      <c r="T181" s="42"/>
      <c r="U181" s="42"/>
      <c r="V181" s="4"/>
    </row>
    <row r="182" spans="1:22" ht="14.65" customHeight="1" x14ac:dyDescent="0.25">
      <c r="A182" s="39" t="s">
        <v>438</v>
      </c>
      <c r="B182" s="6"/>
      <c r="C182" s="5"/>
      <c r="D182" s="27" t="s">
        <v>36</v>
      </c>
      <c r="E182" s="6"/>
      <c r="F182" s="6"/>
      <c r="G182" s="6"/>
      <c r="H182" s="19" t="s">
        <v>36</v>
      </c>
      <c r="L182" s="4"/>
      <c r="M182" s="24" t="s">
        <v>48</v>
      </c>
      <c r="N182" s="6"/>
      <c r="O182" s="6">
        <f>ROUND(+'Ex. 4 Calcs-County'!H11,0)</f>
        <v>1656938</v>
      </c>
      <c r="P182" s="4"/>
      <c r="Q182" s="23"/>
      <c r="R182" s="3" t="str">
        <f>M182</f>
        <v>Lease receivable</v>
      </c>
      <c r="S182" s="42"/>
      <c r="T182" s="42">
        <f>O182</f>
        <v>1656938</v>
      </c>
      <c r="U182" s="42"/>
      <c r="V182" s="4"/>
    </row>
    <row r="183" spans="1:22" ht="14.65" customHeight="1" x14ac:dyDescent="0.25">
      <c r="A183" s="39"/>
      <c r="B183" s="6"/>
      <c r="C183" s="5"/>
      <c r="D183" s="5"/>
      <c r="E183" s="6"/>
      <c r="F183" s="6"/>
      <c r="G183" s="6"/>
      <c r="L183" s="4"/>
      <c r="N183" s="3" t="s">
        <v>787</v>
      </c>
      <c r="P183" s="3"/>
      <c r="Q183" s="4"/>
      <c r="S183" s="7" t="str">
        <f>N183</f>
        <v xml:space="preserve">Deferred inflow of resources -  lease modification </v>
      </c>
      <c r="T183" s="3"/>
      <c r="U183" s="3"/>
    </row>
    <row r="184" spans="1:22" ht="14.65" customHeight="1" x14ac:dyDescent="0.25">
      <c r="A184" s="39"/>
      <c r="B184" s="6"/>
      <c r="C184" s="5"/>
      <c r="D184" s="5"/>
      <c r="E184" s="6"/>
      <c r="F184" s="6"/>
      <c r="G184" s="6"/>
      <c r="L184" s="4"/>
      <c r="N184" s="3" t="s">
        <v>786</v>
      </c>
      <c r="P184" s="6">
        <f>ROUND(+'Ex. 4 Calcs-County'!M11,0)</f>
        <v>1656938</v>
      </c>
      <c r="Q184" s="4"/>
      <c r="S184" s="7" t="str">
        <f>N184</f>
        <v xml:space="preserve">     for bond refunding</v>
      </c>
      <c r="T184" s="3"/>
      <c r="U184" s="42">
        <f>P184</f>
        <v>1656938</v>
      </c>
    </row>
    <row r="185" spans="1:22" ht="14.65" customHeight="1" x14ac:dyDescent="0.25">
      <c r="A185" s="39"/>
      <c r="B185" s="6"/>
      <c r="C185" s="5"/>
      <c r="D185" s="5"/>
      <c r="E185" s="6"/>
      <c r="F185" s="6"/>
      <c r="G185" s="6"/>
      <c r="L185" s="4"/>
      <c r="M185" s="23" t="s">
        <v>788</v>
      </c>
      <c r="N185" s="24"/>
      <c r="O185" s="6"/>
      <c r="P185" s="6"/>
      <c r="Q185" s="4"/>
      <c r="R185" s="23" t="str">
        <f>M185</f>
        <v xml:space="preserve">[To record lease modification made 7/1/20B0 resulting from </v>
      </c>
      <c r="T185" s="42"/>
      <c r="U185" s="42"/>
      <c r="V185" s="4"/>
    </row>
    <row r="186" spans="1:22" ht="14.65" customHeight="1" x14ac:dyDescent="0.25">
      <c r="A186" s="39"/>
      <c r="B186" s="6"/>
      <c r="C186" s="5"/>
      <c r="D186" s="5"/>
      <c r="E186" s="6"/>
      <c r="F186" s="6"/>
      <c r="G186" s="6"/>
      <c r="H186" s="23"/>
      <c r="I186" s="24"/>
      <c r="J186" s="6"/>
      <c r="K186" s="6"/>
      <c r="L186" s="4"/>
      <c r="M186" s="20" t="s">
        <v>789</v>
      </c>
      <c r="Q186" s="4"/>
      <c r="R186" s="23" t="str">
        <f>M186</f>
        <v>bond refunding]</v>
      </c>
      <c r="T186" s="42"/>
      <c r="U186" s="42"/>
      <c r="V186" s="4"/>
    </row>
    <row r="187" spans="1:22" ht="14.65" customHeight="1" x14ac:dyDescent="0.25">
      <c r="A187" s="39"/>
      <c r="B187" s="6"/>
      <c r="C187" s="5"/>
      <c r="D187" s="5"/>
      <c r="E187" s="6"/>
      <c r="F187" s="6"/>
      <c r="G187" s="6"/>
      <c r="H187" s="23"/>
      <c r="I187" s="24"/>
      <c r="J187" s="6"/>
      <c r="K187" s="6"/>
      <c r="L187" s="4"/>
      <c r="M187" s="20"/>
      <c r="Q187" s="4"/>
      <c r="R187" s="23"/>
      <c r="T187" s="42"/>
      <c r="U187" s="42"/>
      <c r="V187" s="4"/>
    </row>
    <row r="188" spans="1:22" ht="14.65" customHeight="1" x14ac:dyDescent="0.25">
      <c r="A188" s="39"/>
      <c r="B188" s="6"/>
      <c r="C188" s="5"/>
      <c r="D188" s="5"/>
      <c r="E188" s="6"/>
      <c r="F188" s="6"/>
      <c r="G188" s="6"/>
      <c r="H188" s="23"/>
      <c r="I188" s="24"/>
      <c r="J188" s="6"/>
      <c r="K188" s="6"/>
      <c r="L188" s="4"/>
      <c r="Q188" s="4"/>
      <c r="R188" s="23"/>
      <c r="T188" s="42"/>
      <c r="U188" s="42"/>
      <c r="V188" s="4"/>
    </row>
    <row r="189" spans="1:22" ht="14.65" customHeight="1" x14ac:dyDescent="0.25">
      <c r="A189" s="203" t="s">
        <v>421</v>
      </c>
      <c r="B189" s="182"/>
      <c r="C189" s="5"/>
      <c r="D189" s="27" t="s">
        <v>36</v>
      </c>
      <c r="E189" s="6"/>
      <c r="F189" s="6"/>
      <c r="G189" s="6"/>
      <c r="H189" s="24" t="s">
        <v>833</v>
      </c>
      <c r="I189" s="27"/>
      <c r="J189" s="6">
        <f>ROUND(+'Ex. 4 Calcs-County'!N30,0)</f>
        <v>1040955</v>
      </c>
      <c r="K189" s="6"/>
      <c r="L189" s="4"/>
      <c r="M189" s="3" t="s">
        <v>787</v>
      </c>
      <c r="O189" s="3"/>
      <c r="P189" s="42"/>
      <c r="Q189" s="4"/>
      <c r="R189" s="3" t="str">
        <f t="shared" ref="R189" si="32">H189</f>
        <v>Deferred inflow of resources - lease</v>
      </c>
      <c r="S189" s="42"/>
      <c r="T189" s="6">
        <f t="shared" ref="T189" si="33">J189</f>
        <v>1040955</v>
      </c>
      <c r="U189" s="6"/>
      <c r="V189" s="4"/>
    </row>
    <row r="190" spans="1:22" ht="14.65" customHeight="1" x14ac:dyDescent="0.25">
      <c r="A190" s="203"/>
      <c r="B190" s="182"/>
      <c r="C190" s="5"/>
      <c r="D190" s="27"/>
      <c r="E190" s="6"/>
      <c r="F190" s="6"/>
      <c r="G190" s="6"/>
      <c r="H190" s="3"/>
      <c r="I190" s="24" t="s">
        <v>790</v>
      </c>
      <c r="J190" s="6"/>
      <c r="K190" s="6">
        <f>+J189</f>
        <v>1040955</v>
      </c>
      <c r="L190" s="4"/>
      <c r="M190" s="3" t="s">
        <v>786</v>
      </c>
      <c r="O190" s="6">
        <f>ROUND(+'Ex. 4 Calcs-County'!Q30,0)</f>
        <v>55231</v>
      </c>
      <c r="P190" s="42"/>
      <c r="Q190" s="4"/>
      <c r="R190" s="3" t="str">
        <f>+M189</f>
        <v xml:space="preserve">Deferred inflow of resources -  lease modification </v>
      </c>
      <c r="T190" s="6"/>
      <c r="U190" s="6"/>
      <c r="V190" s="4"/>
    </row>
    <row r="191" spans="1:22" ht="14.65" customHeight="1" x14ac:dyDescent="0.25">
      <c r="A191" s="39"/>
      <c r="B191" s="6"/>
      <c r="C191" s="5"/>
      <c r="D191" s="5"/>
      <c r="E191" s="6"/>
      <c r="F191" s="6"/>
      <c r="G191" s="3"/>
      <c r="H191" s="23" t="s">
        <v>381</v>
      </c>
      <c r="I191" s="3"/>
      <c r="J191" s="3"/>
      <c r="K191" s="3"/>
      <c r="L191" s="4"/>
      <c r="N191" s="3" t="s">
        <v>791</v>
      </c>
      <c r="O191" s="42"/>
      <c r="P191" s="42">
        <f>+O190</f>
        <v>55231</v>
      </c>
      <c r="Q191" s="4"/>
      <c r="R191" s="3" t="str">
        <f>+M190</f>
        <v xml:space="preserve">     for bond refunding</v>
      </c>
      <c r="T191" s="42">
        <f>+O190</f>
        <v>55231</v>
      </c>
      <c r="U191" s="3"/>
      <c r="V191" s="4"/>
    </row>
    <row r="192" spans="1:22" ht="14.65" customHeight="1" x14ac:dyDescent="0.25">
      <c r="A192" s="39"/>
      <c r="B192" s="6"/>
      <c r="C192" s="192"/>
      <c r="D192" s="5"/>
      <c r="E192" s="6"/>
      <c r="F192" s="6"/>
      <c r="G192" s="6"/>
      <c r="H192" s="23" t="s">
        <v>382</v>
      </c>
      <c r="I192" s="3"/>
      <c r="J192" s="6"/>
      <c r="K192" s="6"/>
      <c r="L192" s="4"/>
      <c r="M192" s="23" t="s">
        <v>422</v>
      </c>
      <c r="O192" s="42"/>
      <c r="P192" s="42"/>
      <c r="Q192" s="4"/>
      <c r="S192" s="3" t="str">
        <f>I190</f>
        <v xml:space="preserve"> Lease revenue - charges for services</v>
      </c>
      <c r="T192" s="6"/>
      <c r="U192" s="6">
        <f>K190</f>
        <v>1040955</v>
      </c>
      <c r="V192" s="4"/>
    </row>
    <row r="193" spans="1:22" ht="14.65" customHeight="1" x14ac:dyDescent="0.25">
      <c r="A193" s="39"/>
      <c r="B193" s="6"/>
      <c r="C193" s="5"/>
      <c r="D193" s="5"/>
      <c r="E193" s="6"/>
      <c r="F193" s="6"/>
      <c r="G193" s="6"/>
      <c r="H193" s="23"/>
      <c r="I193" s="3"/>
      <c r="J193" s="6"/>
      <c r="K193" s="6"/>
      <c r="L193" s="4"/>
      <c r="M193" s="23" t="s">
        <v>792</v>
      </c>
      <c r="Q193" s="4"/>
      <c r="R193" s="5"/>
      <c r="S193" s="3" t="str">
        <f>+N191</f>
        <v xml:space="preserve">Gain on lease modification for bond refinancing </v>
      </c>
      <c r="T193" s="3"/>
      <c r="U193" s="42">
        <f>+P191</f>
        <v>55231</v>
      </c>
      <c r="V193" s="4"/>
    </row>
    <row r="194" spans="1:22" ht="14.65" customHeight="1" x14ac:dyDescent="0.25">
      <c r="A194" s="39"/>
      <c r="B194" s="6"/>
      <c r="C194" s="5"/>
      <c r="D194" s="5"/>
      <c r="E194" s="6"/>
      <c r="F194" s="6"/>
      <c r="G194" s="6"/>
      <c r="H194" s="3"/>
      <c r="I194" s="3"/>
      <c r="J194" s="3"/>
      <c r="K194" s="3"/>
      <c r="L194" s="4"/>
      <c r="M194" s="23"/>
      <c r="Q194" s="4"/>
      <c r="R194" s="23" t="s">
        <v>381</v>
      </c>
      <c r="T194" s="3"/>
      <c r="U194" s="42"/>
      <c r="V194" s="4"/>
    </row>
    <row r="195" spans="1:22" ht="14.65" customHeight="1" x14ac:dyDescent="0.25">
      <c r="A195" s="39"/>
      <c r="B195" s="6"/>
      <c r="C195" s="5"/>
      <c r="D195" s="5"/>
      <c r="E195" s="6"/>
      <c r="F195" s="6"/>
      <c r="G195" s="6"/>
      <c r="H195" s="23"/>
      <c r="I195" s="3"/>
      <c r="J195" s="6"/>
      <c r="K195" s="6"/>
      <c r="L195" s="4"/>
      <c r="M195" s="23"/>
      <c r="Q195" s="4"/>
      <c r="R195" s="23" t="s">
        <v>793</v>
      </c>
      <c r="T195" s="3"/>
      <c r="U195" s="42"/>
      <c r="V195" s="4"/>
    </row>
    <row r="196" spans="1:22" ht="14.65" customHeight="1" x14ac:dyDescent="0.25">
      <c r="A196" s="39"/>
      <c r="B196" s="6"/>
      <c r="C196" s="5"/>
      <c r="D196" s="5"/>
      <c r="E196" s="6"/>
      <c r="F196" s="6"/>
      <c r="G196" s="6"/>
      <c r="H196" s="23"/>
      <c r="I196" s="3"/>
      <c r="J196" s="6"/>
      <c r="K196" s="6"/>
      <c r="L196" s="4"/>
      <c r="M196" s="23"/>
      <c r="Q196" s="4"/>
      <c r="R196" s="23"/>
      <c r="T196" s="3"/>
      <c r="U196" s="42"/>
      <c r="V196" s="4"/>
    </row>
    <row r="197" spans="1:22" ht="14.65" customHeight="1" x14ac:dyDescent="0.25">
      <c r="A197" s="39"/>
      <c r="B197" s="6"/>
      <c r="C197" s="5"/>
      <c r="D197" s="5"/>
      <c r="E197" s="6"/>
      <c r="F197" s="6"/>
      <c r="G197" s="6"/>
      <c r="H197" s="23"/>
      <c r="I197" s="3"/>
      <c r="J197" s="6"/>
      <c r="K197" s="6"/>
      <c r="L197" s="4"/>
      <c r="M197" s="23"/>
      <c r="Q197" s="4"/>
      <c r="R197" s="23"/>
      <c r="T197" s="3"/>
      <c r="U197" s="42"/>
      <c r="V197" s="4"/>
    </row>
    <row r="198" spans="1:22" s="15" customFormat="1" ht="14.65" customHeight="1" x14ac:dyDescent="0.25">
      <c r="A198" s="203" t="s">
        <v>425</v>
      </c>
      <c r="B198" s="6"/>
      <c r="C198" s="5"/>
      <c r="D198" s="27" t="s">
        <v>36</v>
      </c>
      <c r="E198" s="6"/>
      <c r="F198" s="6"/>
      <c r="G198" s="6"/>
      <c r="H198" s="6"/>
      <c r="I198" s="27" t="s">
        <v>36</v>
      </c>
      <c r="J198" s="6"/>
      <c r="K198" s="6"/>
      <c r="L198" s="4"/>
      <c r="M198" s="7" t="s">
        <v>24</v>
      </c>
      <c r="N198" s="24"/>
      <c r="O198" s="6">
        <f>+'Ex. 4 Calcs-County'!T30</f>
        <v>1320000</v>
      </c>
      <c r="P198" s="6"/>
      <c r="Q198" s="4"/>
      <c r="R198" s="24" t="str">
        <f t="shared" ref="R198" si="34">M198</f>
        <v>Depreciation expense</v>
      </c>
      <c r="S198" s="24"/>
      <c r="T198" s="6">
        <f t="shared" ref="T198" si="35">O198</f>
        <v>1320000</v>
      </c>
      <c r="U198" s="117"/>
      <c r="V198" s="4"/>
    </row>
    <row r="199" spans="1:22" s="15" customFormat="1" ht="14.65" customHeight="1" x14ac:dyDescent="0.25">
      <c r="A199" s="39"/>
      <c r="B199" s="6"/>
      <c r="C199" s="5"/>
      <c r="D199" s="5"/>
      <c r="E199" s="6"/>
      <c r="F199" s="6"/>
      <c r="G199" s="6"/>
      <c r="H199" s="6"/>
      <c r="I199" s="6"/>
      <c r="J199" s="6"/>
      <c r="K199" s="6"/>
      <c r="L199" s="4"/>
      <c r="M199" s="23"/>
      <c r="N199" s="24" t="s">
        <v>384</v>
      </c>
      <c r="O199" s="6"/>
      <c r="P199" s="6">
        <f>+O198</f>
        <v>1320000</v>
      </c>
      <c r="Q199" s="4"/>
      <c r="R199" s="24"/>
      <c r="S199" s="24" t="str">
        <f t="shared" ref="S199" si="36">N199</f>
        <v>Accumulated depreciation - office building</v>
      </c>
      <c r="T199" s="6"/>
      <c r="U199" s="117">
        <f t="shared" ref="U199" si="37">P199</f>
        <v>1320000</v>
      </c>
      <c r="V199" s="4"/>
    </row>
    <row r="200" spans="1:22" s="15" customFormat="1" ht="14.65" customHeight="1" x14ac:dyDescent="0.25">
      <c r="A200" s="39"/>
      <c r="B200" s="6"/>
      <c r="C200" s="5"/>
      <c r="D200" s="5"/>
      <c r="E200" s="6"/>
      <c r="F200" s="6"/>
      <c r="G200" s="6"/>
      <c r="H200" s="6"/>
      <c r="I200" s="6"/>
      <c r="J200" s="6"/>
      <c r="K200" s="6"/>
      <c r="L200" s="4"/>
      <c r="M200" s="23" t="s">
        <v>386</v>
      </c>
      <c r="N200" s="24"/>
      <c r="O200" s="6"/>
      <c r="P200" s="6"/>
      <c r="Q200" s="4"/>
      <c r="R200" s="23" t="str">
        <f t="shared" ref="R200" si="38">M200</f>
        <v>[To record annual depreciation of office building]</v>
      </c>
      <c r="S200" s="24"/>
      <c r="T200" s="6"/>
      <c r="U200" s="117"/>
      <c r="V200" s="4"/>
    </row>
    <row r="201" spans="1:22" s="15" customFormat="1" ht="14.65" customHeight="1" x14ac:dyDescent="0.25">
      <c r="A201" s="39"/>
      <c r="B201" s="6"/>
      <c r="C201" s="5"/>
      <c r="D201" s="5"/>
      <c r="E201" s="6"/>
      <c r="F201" s="6"/>
      <c r="G201" s="6"/>
      <c r="H201" s="6"/>
      <c r="I201" s="6"/>
      <c r="J201" s="6"/>
      <c r="K201" s="6"/>
      <c r="L201" s="4"/>
      <c r="M201" s="23"/>
      <c r="N201" s="24"/>
      <c r="O201" s="6"/>
      <c r="P201" s="6"/>
      <c r="Q201" s="4"/>
      <c r="R201" s="24"/>
      <c r="S201" s="24"/>
      <c r="T201" s="6"/>
      <c r="U201" s="117"/>
      <c r="V201" s="4"/>
    </row>
    <row r="202" spans="1:22" ht="14.65" customHeight="1" x14ac:dyDescent="0.25">
      <c r="A202" s="39"/>
      <c r="B202" s="6"/>
      <c r="C202" s="5"/>
      <c r="D202" s="5"/>
      <c r="E202" s="6"/>
      <c r="F202" s="6"/>
      <c r="G202" s="6"/>
      <c r="H202" s="23"/>
      <c r="I202" s="3"/>
      <c r="J202" s="6"/>
      <c r="K202" s="6"/>
      <c r="L202" s="4"/>
      <c r="M202" s="23"/>
      <c r="Q202" s="4"/>
      <c r="R202" s="5"/>
      <c r="T202" s="3"/>
      <c r="U202" s="42"/>
      <c r="V202" s="4"/>
    </row>
    <row r="203" spans="1:22" s="15" customFormat="1" ht="14.65" customHeight="1" x14ac:dyDescent="0.25">
      <c r="A203" s="39" t="s">
        <v>428</v>
      </c>
      <c r="B203" s="6"/>
      <c r="C203" s="5"/>
      <c r="D203" s="27" t="s">
        <v>36</v>
      </c>
      <c r="E203" s="6"/>
      <c r="F203" s="6"/>
      <c r="G203" s="6"/>
      <c r="H203" s="6"/>
      <c r="I203" s="27" t="s">
        <v>36</v>
      </c>
      <c r="J203" s="6"/>
      <c r="K203" s="6"/>
      <c r="L203" s="4"/>
      <c r="M203" s="15" t="s">
        <v>434</v>
      </c>
      <c r="O203" s="6">
        <f>'Ex. 4 Calcs-County'!I31-0.04</f>
        <v>1702416.4907</v>
      </c>
      <c r="P203" s="117"/>
      <c r="R203" s="15" t="str">
        <f t="shared" ref="R203" si="39">M203</f>
        <v>Lease interest receivable</v>
      </c>
      <c r="T203" s="6">
        <f t="shared" ref="T203" si="40">O203</f>
        <v>1702416.4907</v>
      </c>
      <c r="U203" s="6"/>
      <c r="V203" s="4"/>
    </row>
    <row r="204" spans="1:22" s="15" customFormat="1" ht="14.65" customHeight="1" x14ac:dyDescent="0.25">
      <c r="A204" s="39"/>
      <c r="B204" s="6"/>
      <c r="C204" s="5"/>
      <c r="D204" s="5"/>
      <c r="E204" s="6"/>
      <c r="F204" s="6"/>
      <c r="G204" s="6"/>
      <c r="H204" s="6"/>
      <c r="I204" s="6"/>
      <c r="J204" s="6"/>
      <c r="K204" s="6"/>
      <c r="L204" s="4"/>
      <c r="N204" s="15" t="s">
        <v>436</v>
      </c>
      <c r="O204" s="117"/>
      <c r="P204" s="117">
        <f>+O203</f>
        <v>1702416.4907</v>
      </c>
      <c r="S204" s="15" t="str">
        <f t="shared" ref="S204" si="41">N204</f>
        <v>Lease interest income</v>
      </c>
      <c r="T204" s="6"/>
      <c r="U204" s="6">
        <f t="shared" ref="U204" si="42">P204</f>
        <v>1702416.4907</v>
      </c>
      <c r="V204" s="4"/>
    </row>
    <row r="205" spans="1:22" s="15" customFormat="1" ht="14.65" customHeight="1" x14ac:dyDescent="0.25">
      <c r="A205" s="39"/>
      <c r="B205" s="6"/>
      <c r="C205" s="5"/>
      <c r="D205" s="5"/>
      <c r="E205" s="6"/>
      <c r="F205" s="6"/>
      <c r="G205" s="6"/>
      <c r="H205" s="6"/>
      <c r="I205" s="6"/>
      <c r="J205" s="6"/>
      <c r="K205" s="6"/>
      <c r="L205" s="4"/>
      <c r="M205" s="230" t="s">
        <v>437</v>
      </c>
      <c r="O205" s="117"/>
      <c r="P205" s="117"/>
      <c r="R205" s="230" t="str">
        <f t="shared" ref="R205" si="43">M205</f>
        <v>[To record accrual of lease interest receivable at FYE]</v>
      </c>
      <c r="T205" s="6"/>
      <c r="U205" s="6"/>
      <c r="V205" s="4"/>
    </row>
    <row r="206" spans="1:22" ht="14.65" customHeight="1" x14ac:dyDescent="0.25">
      <c r="A206" s="39"/>
      <c r="B206" s="6"/>
      <c r="C206" s="5"/>
      <c r="D206" s="5"/>
      <c r="E206" s="6"/>
      <c r="F206" s="6"/>
      <c r="G206" s="6"/>
      <c r="H206" s="3"/>
      <c r="I206" s="24"/>
      <c r="J206" s="6"/>
      <c r="K206" s="6"/>
      <c r="L206" s="4"/>
      <c r="Q206" s="4"/>
      <c r="R206" s="23"/>
      <c r="T206" s="42"/>
      <c r="U206" s="42"/>
      <c r="V206" s="4"/>
    </row>
    <row r="207" spans="1:22" ht="14.65" customHeight="1" x14ac:dyDescent="0.25">
      <c r="A207" s="39"/>
      <c r="B207" s="6"/>
      <c r="C207" s="5"/>
      <c r="D207" s="5"/>
      <c r="E207" s="6"/>
      <c r="F207" s="6"/>
      <c r="G207" s="6"/>
      <c r="H207" s="3"/>
      <c r="I207" s="24"/>
      <c r="J207" s="6"/>
      <c r="K207" s="6"/>
      <c r="L207" s="4"/>
      <c r="Q207" s="4"/>
      <c r="R207" s="23"/>
      <c r="T207" s="42"/>
      <c r="U207" s="42"/>
      <c r="V207" s="4"/>
    </row>
    <row r="208" spans="1:22" s="27" customFormat="1" x14ac:dyDescent="0.25">
      <c r="A208" s="44" t="s">
        <v>440</v>
      </c>
      <c r="B208" s="182"/>
      <c r="C208" s="191"/>
      <c r="D208" s="27" t="s">
        <v>36</v>
      </c>
      <c r="E208" s="182"/>
      <c r="F208" s="182"/>
      <c r="G208" s="182"/>
      <c r="H208" s="6"/>
      <c r="I208" s="27" t="s">
        <v>36</v>
      </c>
      <c r="J208" s="182"/>
      <c r="K208" s="182"/>
      <c r="L208" s="183"/>
      <c r="M208" s="7" t="s">
        <v>344</v>
      </c>
      <c r="N208" s="7"/>
      <c r="O208" s="182">
        <f>+P210+P211-O209</f>
        <v>3423160</v>
      </c>
      <c r="P208" s="182"/>
      <c r="Q208" s="183"/>
      <c r="R208" s="7" t="str">
        <f t="shared" ref="R208" si="44">M208</f>
        <v>Bond interest expense</v>
      </c>
      <c r="S208" s="7"/>
      <c r="T208" s="182">
        <f>O208</f>
        <v>3423160</v>
      </c>
      <c r="U208" s="182"/>
      <c r="V208" s="182"/>
    </row>
    <row r="209" spans="1:22" s="15" customFormat="1" ht="14.25" customHeight="1" x14ac:dyDescent="0.25">
      <c r="A209" s="39"/>
      <c r="B209" s="6"/>
      <c r="C209" s="5"/>
      <c r="D209" s="5"/>
      <c r="E209" s="6"/>
      <c r="F209" s="6"/>
      <c r="G209" s="6"/>
      <c r="H209" s="6"/>
      <c r="I209" s="6"/>
      <c r="J209" s="6"/>
      <c r="K209" s="6"/>
      <c r="L209" s="4"/>
      <c r="M209" s="15" t="s">
        <v>426</v>
      </c>
      <c r="O209" s="182">
        <f>ROUND(-'Example 4 Assumptions Summary'!N42,0)</f>
        <v>22786</v>
      </c>
      <c r="P209" s="117"/>
      <c r="Q209" s="183"/>
      <c r="R209" s="15" t="str">
        <f>+M209</f>
        <v>Bond premium</v>
      </c>
      <c r="T209" s="117">
        <f>+O209</f>
        <v>22786</v>
      </c>
      <c r="V209" s="4"/>
    </row>
    <row r="210" spans="1:22" s="15" customFormat="1" ht="14.25" customHeight="1" x14ac:dyDescent="0.25">
      <c r="A210" s="39"/>
      <c r="B210" s="6"/>
      <c r="C210" s="5"/>
      <c r="D210" s="5"/>
      <c r="E210" s="6"/>
      <c r="F210" s="6"/>
      <c r="G210" s="6"/>
      <c r="H210" s="6"/>
      <c r="I210" s="6"/>
      <c r="J210" s="6"/>
      <c r="K210" s="6"/>
      <c r="L210" s="4"/>
      <c r="M210" s="23"/>
      <c r="N210" s="7" t="s">
        <v>28</v>
      </c>
      <c r="O210" s="182"/>
      <c r="P210" s="182">
        <f>+'Example 4 Assumptions Summary'!K42</f>
        <v>3355311</v>
      </c>
      <c r="Q210" s="183"/>
      <c r="R210" s="7"/>
      <c r="S210" s="7" t="str">
        <f>N210</f>
        <v>Interest payable</v>
      </c>
      <c r="T210" s="182"/>
      <c r="U210" s="182">
        <f>P210</f>
        <v>3355311</v>
      </c>
      <c r="V210" s="4"/>
    </row>
    <row r="211" spans="1:22" s="15" customFormat="1" ht="14.25" customHeight="1" x14ac:dyDescent="0.25">
      <c r="A211" s="39"/>
      <c r="B211" s="6"/>
      <c r="C211" s="5"/>
      <c r="D211" s="5"/>
      <c r="E211" s="6"/>
      <c r="F211" s="6"/>
      <c r="G211" s="6"/>
      <c r="H211" s="6"/>
      <c r="I211" s="6"/>
      <c r="J211" s="6"/>
      <c r="K211" s="6"/>
      <c r="L211" s="4"/>
      <c r="M211" s="23"/>
      <c r="N211" s="3" t="s">
        <v>406</v>
      </c>
      <c r="O211" s="19"/>
      <c r="P211" s="19">
        <f>ROUND(+'Example 4 Assumptions Summary'!P42,0)</f>
        <v>90635</v>
      </c>
      <c r="Q211" s="4"/>
      <c r="R211" s="7"/>
      <c r="S211" s="7" t="str">
        <f>+N211</f>
        <v>Deferred outflow of resources from refinancing</v>
      </c>
      <c r="T211" s="182"/>
      <c r="U211" s="182">
        <f>+P211</f>
        <v>90635</v>
      </c>
      <c r="V211" s="4"/>
    </row>
    <row r="212" spans="1:22" s="15" customFormat="1" ht="14.65" customHeight="1" x14ac:dyDescent="0.25">
      <c r="A212" s="39"/>
      <c r="B212" s="6"/>
      <c r="C212" s="5"/>
      <c r="D212" s="5"/>
      <c r="E212" s="6"/>
      <c r="F212" s="6"/>
      <c r="G212" s="6"/>
      <c r="H212" s="6"/>
      <c r="I212" s="6"/>
      <c r="J212" s="6"/>
      <c r="K212" s="6"/>
      <c r="L212" s="4"/>
      <c r="M212" s="23" t="s">
        <v>360</v>
      </c>
      <c r="N212" s="23"/>
      <c r="O212" s="6"/>
      <c r="P212" s="6"/>
      <c r="Q212" s="4"/>
      <c r="R212" s="22" t="str">
        <f>M212</f>
        <v>[To record accual of bond interest payable and amortization of</v>
      </c>
      <c r="S212" s="23"/>
      <c r="T212" s="6"/>
      <c r="U212" s="117"/>
      <c r="V212" s="4"/>
    </row>
    <row r="213" spans="1:22" s="15" customFormat="1" ht="14.65" customHeight="1" x14ac:dyDescent="0.25">
      <c r="A213" s="39"/>
      <c r="B213" s="6"/>
      <c r="C213" s="5"/>
      <c r="D213" s="5"/>
      <c r="E213" s="6"/>
      <c r="F213" s="6"/>
      <c r="G213" s="6"/>
      <c r="H213" s="6"/>
      <c r="I213" s="6"/>
      <c r="J213" s="6"/>
      <c r="K213" s="6"/>
      <c r="L213" s="4"/>
      <c r="M213" s="23" t="s">
        <v>427</v>
      </c>
      <c r="N213" s="24"/>
      <c r="O213" s="6"/>
      <c r="P213" s="6"/>
      <c r="Q213" s="4"/>
      <c r="R213" s="24" t="str">
        <f>M213</f>
        <v>premium and deferred outflow of resources from bond refinancing]</v>
      </c>
      <c r="S213" s="24"/>
      <c r="T213" s="6"/>
      <c r="U213" s="117"/>
      <c r="V213" s="4"/>
    </row>
    <row r="215" spans="1:22" x14ac:dyDescent="0.25">
      <c r="O215" s="120"/>
      <c r="T215" s="120"/>
    </row>
    <row r="216" spans="1:22" x14ac:dyDescent="0.25">
      <c r="A216" s="195" t="s">
        <v>429</v>
      </c>
      <c r="B216" s="3"/>
      <c r="C216" s="116"/>
      <c r="D216" s="116"/>
      <c r="E216" s="3"/>
      <c r="F216" s="3"/>
      <c r="G216" s="3"/>
      <c r="H216" s="3"/>
      <c r="I216" s="3"/>
      <c r="J216" s="3"/>
      <c r="K216" s="3"/>
      <c r="O216" s="42"/>
      <c r="P216" s="42"/>
      <c r="T216" s="6"/>
      <c r="U216" s="42"/>
    </row>
    <row r="217" spans="1:22" x14ac:dyDescent="0.25">
      <c r="A217" s="39" t="s">
        <v>430</v>
      </c>
      <c r="B217" s="3"/>
      <c r="C217" s="116"/>
      <c r="D217" s="27" t="s">
        <v>36</v>
      </c>
      <c r="E217" s="3"/>
      <c r="F217" s="3"/>
      <c r="G217" s="3"/>
      <c r="H217" s="3" t="s">
        <v>2</v>
      </c>
      <c r="I217" s="3"/>
      <c r="J217" s="6">
        <f>'Ex. 4 Calcs-County'!H31</f>
        <v>2118614.4812500002</v>
      </c>
      <c r="K217" s="42"/>
      <c r="M217" s="3" t="str">
        <f>+I219</f>
        <v>Revenue - lease interest</v>
      </c>
      <c r="O217" s="42">
        <f>+K219</f>
        <v>1702416.4907</v>
      </c>
      <c r="P217" s="42"/>
      <c r="R217" s="3" t="str">
        <f>+H217</f>
        <v>Cash</v>
      </c>
      <c r="T217" s="6">
        <f>+J217</f>
        <v>2118614.4812500002</v>
      </c>
      <c r="U217" s="42"/>
    </row>
    <row r="218" spans="1:22" x14ac:dyDescent="0.25">
      <c r="A218" s="111"/>
      <c r="B218" s="3"/>
      <c r="C218" s="116"/>
      <c r="D218" s="116"/>
      <c r="E218" s="3"/>
      <c r="F218" s="3"/>
      <c r="G218" s="3"/>
      <c r="H218" s="3"/>
      <c r="I218" s="3" t="s">
        <v>48</v>
      </c>
      <c r="J218" s="6"/>
      <c r="K218" s="6">
        <f>+'Ex. 4 Calcs-County'!J31</f>
        <v>416197.95055000018</v>
      </c>
      <c r="N218" s="3" t="s">
        <v>434</v>
      </c>
      <c r="O218" s="42"/>
      <c r="P218" s="42">
        <f>+O203</f>
        <v>1702416.4907</v>
      </c>
      <c r="S218" s="3" t="str">
        <f>+I218</f>
        <v>Lease receivable</v>
      </c>
      <c r="T218" s="6"/>
      <c r="U218" s="42">
        <f>+K218</f>
        <v>416197.95055000018</v>
      </c>
    </row>
    <row r="219" spans="1:22" x14ac:dyDescent="0.25">
      <c r="A219" s="111"/>
      <c r="B219" s="3"/>
      <c r="C219" s="116"/>
      <c r="D219" s="116"/>
      <c r="E219" s="3"/>
      <c r="F219" s="3"/>
      <c r="G219" s="3"/>
      <c r="H219" s="3"/>
      <c r="I219" s="3" t="s">
        <v>432</v>
      </c>
      <c r="J219" s="6"/>
      <c r="K219" s="6">
        <f>'Ex. 4 Calcs-County'!I31-0.04</f>
        <v>1702416.4907</v>
      </c>
      <c r="O219" s="42"/>
      <c r="P219" s="42"/>
      <c r="S219" s="3" t="str">
        <f>+N218</f>
        <v>Lease interest receivable</v>
      </c>
      <c r="T219" s="6"/>
      <c r="U219" s="42">
        <f>+P218</f>
        <v>1702416.4907</v>
      </c>
    </row>
    <row r="220" spans="1:22" x14ac:dyDescent="0.25">
      <c r="A220" s="111"/>
      <c r="B220" s="3"/>
      <c r="C220" s="116"/>
      <c r="D220" s="116"/>
      <c r="E220" s="3"/>
      <c r="F220" s="3"/>
      <c r="G220" s="3"/>
      <c r="H220" s="20" t="s">
        <v>433</v>
      </c>
      <c r="I220" s="3"/>
      <c r="J220" s="6"/>
      <c r="K220" s="6"/>
      <c r="O220" s="42"/>
      <c r="P220" s="42"/>
      <c r="R220" s="20" t="str">
        <f>+H220</f>
        <v>[To record receipt of annual lease payment]</v>
      </c>
      <c r="T220" s="3"/>
      <c r="U220" s="3"/>
    </row>
    <row r="221" spans="1:22" x14ac:dyDescent="0.25">
      <c r="A221" s="111"/>
      <c r="B221" s="3"/>
      <c r="C221" s="116"/>
      <c r="D221" s="116"/>
      <c r="E221" s="3"/>
      <c r="F221" s="3"/>
      <c r="G221" s="3"/>
      <c r="H221" s="3"/>
      <c r="I221" s="3"/>
      <c r="J221" s="3"/>
      <c r="K221" s="3"/>
      <c r="O221" s="42"/>
      <c r="P221" s="42"/>
      <c r="T221" s="6"/>
      <c r="U221" s="42"/>
    </row>
    <row r="222" spans="1:22" x14ac:dyDescent="0.25">
      <c r="A222" s="111"/>
      <c r="B222" s="3"/>
      <c r="C222" s="116"/>
      <c r="D222" s="116"/>
      <c r="E222" s="3"/>
      <c r="F222" s="3"/>
      <c r="G222" s="3"/>
      <c r="H222" s="3"/>
      <c r="I222" s="3"/>
      <c r="J222" s="3"/>
      <c r="K222" s="3"/>
      <c r="O222" s="42"/>
      <c r="P222" s="42"/>
      <c r="T222" s="6"/>
      <c r="U222" s="42"/>
    </row>
    <row r="223" spans="1:22" x14ac:dyDescent="0.25">
      <c r="A223" s="39" t="s">
        <v>418</v>
      </c>
      <c r="B223" s="182"/>
      <c r="C223" s="191"/>
      <c r="D223" s="27" t="s">
        <v>36</v>
      </c>
      <c r="E223" s="6"/>
      <c r="F223" s="6"/>
      <c r="G223" s="6"/>
      <c r="H223" s="21" t="s">
        <v>393</v>
      </c>
      <c r="I223" s="22"/>
      <c r="J223" s="6">
        <f>ROUND(+'Example 4 Assumptions Summary'!L42,0)</f>
        <v>820289</v>
      </c>
      <c r="K223" s="6"/>
      <c r="L223" s="4"/>
      <c r="M223" s="3" t="s">
        <v>335</v>
      </c>
      <c r="O223" s="19">
        <f>+P225</f>
        <v>820289</v>
      </c>
      <c r="Q223" s="4"/>
      <c r="R223" s="7" t="str">
        <f>+M223</f>
        <v>Bonds payable</v>
      </c>
      <c r="S223" s="27"/>
      <c r="T223" s="42">
        <f>+O223</f>
        <v>820289</v>
      </c>
      <c r="U223" s="42"/>
    </row>
    <row r="224" spans="1:22" x14ac:dyDescent="0.25">
      <c r="A224" s="39"/>
      <c r="B224" s="6"/>
      <c r="C224" s="5"/>
      <c r="D224" s="5"/>
      <c r="E224" s="6"/>
      <c r="F224" s="6"/>
      <c r="G224" s="6"/>
      <c r="H224" s="21" t="s">
        <v>394</v>
      </c>
      <c r="I224" s="22"/>
      <c r="J224" s="6">
        <f>ROUND(+'Example 4 Assumptions Summary'!K42,0)</f>
        <v>3355311</v>
      </c>
      <c r="K224" s="6"/>
      <c r="L224" s="4"/>
      <c r="M224" s="3" t="s">
        <v>28</v>
      </c>
      <c r="O224" s="19">
        <f>+P226</f>
        <v>3355311</v>
      </c>
      <c r="Q224" s="4"/>
      <c r="R224" s="7" t="str">
        <f>+M224</f>
        <v>Interest payable</v>
      </c>
      <c r="T224" s="42">
        <f>+O224</f>
        <v>3355311</v>
      </c>
      <c r="U224" s="42"/>
    </row>
    <row r="225" spans="1:21" x14ac:dyDescent="0.25">
      <c r="A225" s="39"/>
      <c r="B225" s="6"/>
      <c r="C225" s="5"/>
      <c r="D225" s="5"/>
      <c r="E225" s="6"/>
      <c r="F225" s="6"/>
      <c r="G225" s="6"/>
      <c r="H225" s="25"/>
      <c r="I225" s="3" t="s">
        <v>2</v>
      </c>
      <c r="J225" s="6"/>
      <c r="K225" s="6">
        <f>ROUND(+'Example 4 Assumptions Summary'!J42,0)</f>
        <v>4175600</v>
      </c>
      <c r="L225" s="4"/>
      <c r="N225" s="3" t="str">
        <f>+H223</f>
        <v>Debt service - bond principal payment (gen long-term debt)</v>
      </c>
      <c r="P225" s="19">
        <f>+J223</f>
        <v>820289</v>
      </c>
      <c r="Q225" s="4"/>
      <c r="R225" s="7"/>
      <c r="S225" s="3" t="str">
        <f>+I225</f>
        <v>Cash</v>
      </c>
      <c r="T225" s="42"/>
      <c r="U225" s="42">
        <f>+K225</f>
        <v>4175600</v>
      </c>
    </row>
    <row r="226" spans="1:21" x14ac:dyDescent="0.25">
      <c r="A226" s="39"/>
      <c r="B226" s="6"/>
      <c r="C226" s="5"/>
      <c r="D226" s="5"/>
      <c r="E226" s="6"/>
      <c r="F226" s="6"/>
      <c r="G226" s="6"/>
      <c r="H226" s="23" t="s">
        <v>355</v>
      </c>
      <c r="I226" s="24"/>
      <c r="J226" s="6"/>
      <c r="K226" s="6"/>
      <c r="L226" s="4"/>
      <c r="N226" s="3" t="str">
        <f>+H224</f>
        <v xml:space="preserve">Debt service - bond Interest </v>
      </c>
      <c r="P226" s="19">
        <f>+J224</f>
        <v>3355311</v>
      </c>
      <c r="Q226" s="4"/>
      <c r="R226" s="23" t="str">
        <f>$H$37</f>
        <v>[To record annual bond debt service payment made]</v>
      </c>
      <c r="T226" s="42"/>
      <c r="U226" s="42"/>
    </row>
    <row r="227" spans="1:21" x14ac:dyDescent="0.25">
      <c r="A227" s="39"/>
      <c r="B227" s="6"/>
      <c r="C227" s="5"/>
      <c r="D227" s="5"/>
      <c r="E227" s="6"/>
      <c r="F227" s="6"/>
      <c r="G227" s="6"/>
      <c r="H227" s="3"/>
      <c r="I227" s="24"/>
      <c r="J227" s="6"/>
      <c r="K227" s="6"/>
      <c r="L227" s="4"/>
      <c r="Q227" s="4"/>
      <c r="R227" s="23"/>
      <c r="T227" s="42"/>
      <c r="U227" s="42"/>
    </row>
    <row r="228" spans="1:21" x14ac:dyDescent="0.25">
      <c r="A228" s="39"/>
      <c r="B228" s="6"/>
      <c r="C228" s="5"/>
      <c r="D228" s="5"/>
      <c r="E228" s="6"/>
      <c r="F228" s="6"/>
      <c r="G228" s="6"/>
      <c r="H228" s="23"/>
      <c r="I228" s="24"/>
      <c r="J228" s="6"/>
      <c r="K228" s="6"/>
      <c r="L228" s="4"/>
      <c r="Q228" s="4"/>
      <c r="R228" s="23"/>
      <c r="T228" s="42"/>
      <c r="U228" s="42"/>
    </row>
    <row r="229" spans="1:21" s="16" customFormat="1" x14ac:dyDescent="0.25">
      <c r="A229" s="203" t="s">
        <v>441</v>
      </c>
      <c r="B229" s="182"/>
      <c r="C229" s="5"/>
      <c r="D229" s="206" t="s">
        <v>36</v>
      </c>
      <c r="E229" s="6"/>
      <c r="F229" s="6"/>
      <c r="G229" s="6"/>
      <c r="H229" s="24" t="s">
        <v>833</v>
      </c>
      <c r="I229" s="206"/>
      <c r="J229" s="6">
        <f>ROUND(+'Ex. 4 Calcs-County'!N31,0)</f>
        <v>1040955</v>
      </c>
      <c r="K229" s="6"/>
      <c r="L229" s="4"/>
      <c r="M229" s="16" t="s">
        <v>840</v>
      </c>
      <c r="O229" s="6">
        <f>ROUND('Ex. 4 Calcs-County'!Q31,0)</f>
        <v>55231</v>
      </c>
      <c r="P229" s="201"/>
      <c r="Q229" s="4"/>
      <c r="R229" s="16" t="str">
        <f t="shared" ref="R229" si="45">H229</f>
        <v>Deferred inflow of resources - lease</v>
      </c>
      <c r="S229" s="201"/>
      <c r="T229" s="6">
        <f t="shared" ref="T229" si="46">J229</f>
        <v>1040955</v>
      </c>
      <c r="U229" s="6"/>
    </row>
    <row r="230" spans="1:21" x14ac:dyDescent="0.25">
      <c r="A230" s="39"/>
      <c r="B230" s="6"/>
      <c r="C230" s="5"/>
      <c r="D230" s="5"/>
      <c r="E230" s="6"/>
      <c r="F230" s="6"/>
      <c r="G230" s="3"/>
      <c r="H230" s="3"/>
      <c r="I230" s="24" t="s">
        <v>790</v>
      </c>
      <c r="J230" s="6"/>
      <c r="K230" s="6">
        <f>+J229</f>
        <v>1040955</v>
      </c>
      <c r="L230" s="4"/>
      <c r="N230" s="3" t="s">
        <v>414</v>
      </c>
      <c r="O230" s="42"/>
      <c r="P230" s="42">
        <f>+O229</f>
        <v>55231</v>
      </c>
      <c r="Q230" s="4"/>
      <c r="R230" s="3" t="str">
        <f>+M229</f>
        <v>Deferred inflow of resources - lease modification</v>
      </c>
      <c r="T230" s="42">
        <f>+O229</f>
        <v>55231</v>
      </c>
      <c r="U230" s="3"/>
    </row>
    <row r="231" spans="1:21" x14ac:dyDescent="0.25">
      <c r="A231" s="39"/>
      <c r="B231" s="6"/>
      <c r="C231" s="192"/>
      <c r="D231" s="5"/>
      <c r="E231" s="6"/>
      <c r="F231" s="6"/>
      <c r="G231" s="6"/>
      <c r="H231" s="23" t="s">
        <v>381</v>
      </c>
      <c r="I231" s="3"/>
      <c r="J231" s="3"/>
      <c r="K231" s="3"/>
      <c r="L231" s="4"/>
      <c r="M231" s="23" t="s">
        <v>422</v>
      </c>
      <c r="O231" s="42"/>
      <c r="P231" s="42"/>
      <c r="Q231" s="4"/>
      <c r="S231" s="3" t="str">
        <f>I230</f>
        <v xml:space="preserve"> Lease revenue - charges for services</v>
      </c>
      <c r="T231" s="6"/>
      <c r="U231" s="6">
        <f>K230</f>
        <v>1040955</v>
      </c>
    </row>
    <row r="232" spans="1:21" x14ac:dyDescent="0.25">
      <c r="A232" s="39"/>
      <c r="B232" s="6"/>
      <c r="C232" s="5"/>
      <c r="D232" s="5"/>
      <c r="E232" s="6"/>
      <c r="F232" s="6"/>
      <c r="G232" s="6"/>
      <c r="H232" s="23" t="s">
        <v>382</v>
      </c>
      <c r="I232" s="3"/>
      <c r="J232" s="6"/>
      <c r="K232" s="6"/>
      <c r="L232" s="4"/>
      <c r="M232" s="23" t="s">
        <v>423</v>
      </c>
      <c r="Q232" s="4"/>
      <c r="R232" s="5"/>
      <c r="S232" s="3" t="str">
        <f>+N230</f>
        <v xml:space="preserve">Gain on refinancing </v>
      </c>
      <c r="T232" s="3"/>
      <c r="U232" s="42">
        <f>+P230</f>
        <v>55231</v>
      </c>
    </row>
    <row r="233" spans="1:21" x14ac:dyDescent="0.25">
      <c r="A233" s="39"/>
      <c r="B233" s="6"/>
      <c r="C233" s="5"/>
      <c r="D233" s="5"/>
      <c r="E233" s="6"/>
      <c r="F233" s="6"/>
      <c r="G233" s="6"/>
      <c r="H233" s="3"/>
      <c r="I233" s="24"/>
      <c r="J233" s="6"/>
      <c r="K233" s="6"/>
      <c r="L233" s="4"/>
      <c r="Q233" s="4"/>
      <c r="R233" s="23" t="s">
        <v>136</v>
      </c>
      <c r="S233" s="5"/>
      <c r="T233" s="6"/>
      <c r="U233" s="6"/>
    </row>
    <row r="234" spans="1:21" x14ac:dyDescent="0.25">
      <c r="A234" s="39"/>
      <c r="B234" s="6"/>
      <c r="C234" s="5"/>
      <c r="D234" s="5"/>
      <c r="E234" s="6"/>
      <c r="F234" s="6"/>
      <c r="G234" s="6"/>
      <c r="H234" s="3"/>
      <c r="I234" s="24"/>
      <c r="J234" s="6"/>
      <c r="K234" s="6"/>
      <c r="L234" s="4"/>
      <c r="Q234" s="4"/>
      <c r="R234" s="23" t="s">
        <v>424</v>
      </c>
      <c r="T234" s="42"/>
      <c r="U234" s="42"/>
    </row>
    <row r="235" spans="1:21" x14ac:dyDescent="0.25">
      <c r="A235" s="39"/>
      <c r="B235" s="6"/>
      <c r="C235" s="5"/>
      <c r="D235" s="5"/>
      <c r="E235" s="6"/>
      <c r="F235" s="6"/>
      <c r="G235" s="6"/>
      <c r="H235" s="3"/>
      <c r="I235" s="24"/>
      <c r="J235" s="6"/>
      <c r="K235" s="6"/>
      <c r="L235" s="4"/>
      <c r="Q235" s="4"/>
      <c r="R235" s="23"/>
      <c r="T235" s="42"/>
      <c r="U235" s="42"/>
    </row>
    <row r="236" spans="1:21" x14ac:dyDescent="0.25">
      <c r="A236" s="39"/>
      <c r="B236" s="6"/>
      <c r="C236" s="5"/>
      <c r="D236" s="5"/>
      <c r="E236" s="6"/>
      <c r="F236" s="6"/>
      <c r="G236" s="6"/>
      <c r="H236" s="3"/>
      <c r="I236" s="24"/>
      <c r="J236" s="6"/>
      <c r="K236" s="6"/>
      <c r="L236" s="4"/>
      <c r="Q236" s="4"/>
      <c r="R236" s="23"/>
      <c r="T236" s="42"/>
      <c r="U236" s="42"/>
    </row>
    <row r="237" spans="1:21" x14ac:dyDescent="0.25">
      <c r="A237" s="203" t="s">
        <v>442</v>
      </c>
      <c r="B237" s="6"/>
      <c r="C237" s="5"/>
      <c r="D237" s="27" t="s">
        <v>36</v>
      </c>
      <c r="E237" s="6"/>
      <c r="F237" s="6"/>
      <c r="G237" s="6"/>
      <c r="H237" s="6"/>
      <c r="I237" s="27" t="s">
        <v>36</v>
      </c>
      <c r="J237" s="6"/>
      <c r="K237" s="6"/>
      <c r="L237" s="4"/>
      <c r="M237" s="7" t="s">
        <v>24</v>
      </c>
      <c r="N237" s="24"/>
      <c r="O237" s="6">
        <f>ROUND(+'Ex. 4 Calcs-County'!T31,0)</f>
        <v>1320000</v>
      </c>
      <c r="P237" s="6"/>
      <c r="Q237" s="4"/>
      <c r="R237" s="24" t="str">
        <f t="shared" ref="R237" si="47">M237</f>
        <v>Depreciation expense</v>
      </c>
      <c r="S237" s="24"/>
      <c r="T237" s="6">
        <f t="shared" ref="T237" si="48">O237</f>
        <v>1320000</v>
      </c>
      <c r="U237" s="117"/>
    </row>
    <row r="238" spans="1:21" x14ac:dyDescent="0.25">
      <c r="A238" s="39"/>
      <c r="B238" s="6"/>
      <c r="C238" s="5"/>
      <c r="D238" s="5"/>
      <c r="E238" s="6"/>
      <c r="F238" s="6"/>
      <c r="G238" s="6"/>
      <c r="H238" s="6"/>
      <c r="I238" s="6"/>
      <c r="J238" s="6"/>
      <c r="K238" s="6"/>
      <c r="L238" s="4"/>
      <c r="M238" s="23"/>
      <c r="N238" s="24" t="s">
        <v>384</v>
      </c>
      <c r="O238" s="6"/>
      <c r="P238" s="6">
        <f>+O237</f>
        <v>1320000</v>
      </c>
      <c r="Q238" s="4"/>
      <c r="R238" s="24"/>
      <c r="S238" s="24" t="str">
        <f t="shared" ref="S238" si="49">N238</f>
        <v>Accumulated depreciation - office building</v>
      </c>
      <c r="T238" s="6"/>
      <c r="U238" s="117">
        <f t="shared" ref="U238" si="50">P238</f>
        <v>1320000</v>
      </c>
    </row>
    <row r="239" spans="1:21" x14ac:dyDescent="0.25">
      <c r="A239" s="39"/>
      <c r="B239" s="6"/>
      <c r="C239" s="5"/>
      <c r="D239" s="5"/>
      <c r="E239" s="6"/>
      <c r="F239" s="6"/>
      <c r="G239" s="6"/>
      <c r="H239" s="6"/>
      <c r="I239" s="6"/>
      <c r="J239" s="6"/>
      <c r="K239" s="6"/>
      <c r="L239" s="4"/>
      <c r="M239" s="23" t="s">
        <v>386</v>
      </c>
      <c r="N239" s="24"/>
      <c r="O239" s="6"/>
      <c r="P239" s="6"/>
      <c r="Q239" s="4"/>
      <c r="R239" s="23" t="str">
        <f t="shared" ref="R239" si="51">M239</f>
        <v>[To record annual depreciation of office building]</v>
      </c>
      <c r="S239" s="24"/>
      <c r="T239" s="6"/>
      <c r="U239" s="117"/>
    </row>
    <row r="240" spans="1:21" x14ac:dyDescent="0.25">
      <c r="A240" s="39"/>
      <c r="B240" s="6"/>
      <c r="C240" s="5"/>
      <c r="D240" s="5"/>
      <c r="E240" s="6"/>
      <c r="F240" s="6"/>
      <c r="G240" s="6"/>
      <c r="H240" s="3"/>
      <c r="I240" s="24"/>
      <c r="J240" s="6"/>
      <c r="K240" s="6"/>
      <c r="L240" s="4"/>
      <c r="Q240" s="4"/>
      <c r="R240" s="23"/>
      <c r="T240" s="42"/>
      <c r="U240" s="42"/>
    </row>
    <row r="241" spans="1:22" x14ac:dyDescent="0.25">
      <c r="A241" s="39"/>
      <c r="B241" s="6"/>
      <c r="C241" s="5"/>
      <c r="D241" s="5"/>
      <c r="E241" s="6"/>
      <c r="F241" s="6"/>
      <c r="G241" s="6"/>
      <c r="H241" s="3"/>
      <c r="I241" s="24"/>
      <c r="J241" s="6"/>
      <c r="K241" s="6"/>
      <c r="L241" s="4"/>
      <c r="Q241" s="4"/>
      <c r="R241" s="23"/>
      <c r="T241" s="42"/>
      <c r="U241" s="42"/>
    </row>
    <row r="242" spans="1:22" s="4" customFormat="1" ht="14.65" customHeight="1" x14ac:dyDescent="0.25">
      <c r="A242" s="203" t="s">
        <v>443</v>
      </c>
      <c r="B242" s="6"/>
      <c r="C242" s="5"/>
      <c r="D242" s="206" t="s">
        <v>36</v>
      </c>
      <c r="E242" s="6"/>
      <c r="F242" s="6"/>
      <c r="G242" s="6"/>
      <c r="H242" s="6"/>
      <c r="I242" s="206" t="s">
        <v>36</v>
      </c>
      <c r="J242" s="6"/>
      <c r="K242" s="6"/>
      <c r="M242" s="4" t="s">
        <v>434</v>
      </c>
      <c r="O242" s="6">
        <f>ROUND(+'Ex. 4 Calcs-County'!I32,0)</f>
        <v>1681378</v>
      </c>
      <c r="P242" s="684"/>
      <c r="R242" s="4" t="str">
        <f t="shared" ref="R242" si="52">M242</f>
        <v>Lease interest receivable</v>
      </c>
      <c r="T242" s="6">
        <f t="shared" ref="T242" si="53">O242</f>
        <v>1681378</v>
      </c>
      <c r="U242" s="6"/>
    </row>
    <row r="243" spans="1:22" s="15" customFormat="1" ht="14.65" customHeight="1" x14ac:dyDescent="0.25">
      <c r="A243" s="39"/>
      <c r="B243" s="6"/>
      <c r="C243" s="5"/>
      <c r="D243" s="5"/>
      <c r="E243" s="6"/>
      <c r="F243" s="6"/>
      <c r="G243" s="6"/>
      <c r="H243" s="6"/>
      <c r="I243" s="6"/>
      <c r="J243" s="6"/>
      <c r="K243" s="6"/>
      <c r="L243" s="4"/>
      <c r="N243" s="15" t="s">
        <v>436</v>
      </c>
      <c r="O243" s="117"/>
      <c r="P243" s="117">
        <f>+O242</f>
        <v>1681378</v>
      </c>
      <c r="S243" s="15" t="str">
        <f t="shared" ref="S243" si="54">N243</f>
        <v>Lease interest income</v>
      </c>
      <c r="T243" s="6"/>
      <c r="U243" s="6">
        <f t="shared" ref="U243" si="55">P243</f>
        <v>1681378</v>
      </c>
      <c r="V243" s="4"/>
    </row>
    <row r="244" spans="1:22" s="15" customFormat="1" ht="14.65" customHeight="1" x14ac:dyDescent="0.25">
      <c r="A244" s="39"/>
      <c r="B244" s="6"/>
      <c r="C244" s="5"/>
      <c r="D244" s="5"/>
      <c r="E244" s="6"/>
      <c r="F244" s="6"/>
      <c r="G244" s="6"/>
      <c r="H244" s="6"/>
      <c r="I244" s="6"/>
      <c r="J244" s="6"/>
      <c r="K244" s="6"/>
      <c r="L244" s="4"/>
      <c r="M244" s="230" t="s">
        <v>437</v>
      </c>
      <c r="O244" s="117"/>
      <c r="P244" s="117"/>
      <c r="R244" s="230" t="str">
        <f t="shared" ref="R244" si="56">M244</f>
        <v>[To record accrual of lease interest receivable at FYE]</v>
      </c>
      <c r="T244" s="6"/>
      <c r="U244" s="6"/>
      <c r="V244" s="4"/>
    </row>
    <row r="245" spans="1:22" x14ac:dyDescent="0.25">
      <c r="A245" s="39"/>
      <c r="B245" s="6"/>
      <c r="C245" s="5"/>
      <c r="D245" s="5"/>
      <c r="E245" s="6"/>
      <c r="F245" s="6"/>
      <c r="G245" s="6"/>
      <c r="H245" s="3"/>
      <c r="I245" s="24"/>
      <c r="J245" s="6"/>
      <c r="K245" s="6"/>
      <c r="L245" s="4"/>
      <c r="Q245" s="4"/>
      <c r="R245" s="23"/>
      <c r="T245" s="42"/>
      <c r="U245" s="42"/>
    </row>
    <row r="246" spans="1:22" x14ac:dyDescent="0.25">
      <c r="A246" s="39"/>
      <c r="B246" s="6"/>
      <c r="C246" s="5"/>
      <c r="D246" s="5"/>
      <c r="E246" s="6"/>
      <c r="F246" s="6"/>
      <c r="G246" s="6"/>
      <c r="H246" s="3"/>
      <c r="I246" s="24"/>
      <c r="J246" s="6"/>
      <c r="K246" s="6"/>
      <c r="L246" s="4"/>
      <c r="Q246" s="4"/>
      <c r="R246" s="23"/>
      <c r="T246" s="42"/>
      <c r="U246" s="42"/>
    </row>
    <row r="247" spans="1:22" x14ac:dyDescent="0.25">
      <c r="A247" s="44" t="s">
        <v>444</v>
      </c>
      <c r="B247" s="182"/>
      <c r="C247" s="191"/>
      <c r="D247" s="27" t="s">
        <v>36</v>
      </c>
      <c r="E247" s="182"/>
      <c r="F247" s="182"/>
      <c r="G247" s="182"/>
      <c r="H247" s="6"/>
      <c r="I247" s="27" t="s">
        <v>36</v>
      </c>
      <c r="J247" s="182"/>
      <c r="K247" s="182"/>
      <c r="L247" s="183"/>
      <c r="M247" s="7" t="s">
        <v>344</v>
      </c>
      <c r="N247" s="7"/>
      <c r="O247" s="42">
        <f>+P249+P250-O248</f>
        <v>3380856</v>
      </c>
      <c r="P247" s="182"/>
      <c r="Q247" s="183"/>
      <c r="R247" s="7" t="str">
        <f t="shared" ref="R247" si="57">M247</f>
        <v>Bond interest expense</v>
      </c>
      <c r="S247" s="7"/>
      <c r="T247" s="182">
        <f>+O247</f>
        <v>3380856</v>
      </c>
      <c r="U247" s="182"/>
    </row>
    <row r="248" spans="1:22" x14ac:dyDescent="0.25">
      <c r="A248" s="39"/>
      <c r="B248" s="6"/>
      <c r="C248" s="5"/>
      <c r="D248" s="5"/>
      <c r="E248" s="6"/>
      <c r="F248" s="6"/>
      <c r="G248" s="6"/>
      <c r="H248" s="6"/>
      <c r="I248" s="6"/>
      <c r="J248" s="6"/>
      <c r="K248" s="6"/>
      <c r="L248" s="4"/>
      <c r="M248" s="15" t="s">
        <v>426</v>
      </c>
      <c r="N248" s="15"/>
      <c r="O248" s="182">
        <f>ROUND(-'Example 4 Assumptions Summary'!N43,0)</f>
        <v>22504</v>
      </c>
      <c r="P248" s="117"/>
      <c r="Q248" s="183"/>
      <c r="R248" s="15" t="str">
        <f>+M248</f>
        <v>Bond premium</v>
      </c>
      <c r="S248" s="15"/>
      <c r="T248" s="117">
        <f>+O248</f>
        <v>22504</v>
      </c>
      <c r="U248" s="15"/>
    </row>
    <row r="249" spans="1:22" x14ac:dyDescent="0.25">
      <c r="A249" s="39"/>
      <c r="B249" s="6"/>
      <c r="C249" s="5"/>
      <c r="D249" s="5"/>
      <c r="E249" s="6"/>
      <c r="F249" s="6"/>
      <c r="G249" s="6"/>
      <c r="H249" s="6"/>
      <c r="I249" s="6"/>
      <c r="J249" s="6"/>
      <c r="K249" s="6"/>
      <c r="L249" s="4"/>
      <c r="M249" s="23"/>
      <c r="N249" s="7" t="s">
        <v>28</v>
      </c>
      <c r="O249" s="182"/>
      <c r="P249" s="182">
        <f>+'Example 4 Assumptions Summary'!K43</f>
        <v>3313845</v>
      </c>
      <c r="Q249" s="183"/>
      <c r="R249" s="7"/>
      <c r="S249" s="7" t="str">
        <f>N249</f>
        <v>Interest payable</v>
      </c>
      <c r="T249" s="182"/>
      <c r="U249" s="182">
        <f>+P249</f>
        <v>3313845</v>
      </c>
    </row>
    <row r="250" spans="1:22" x14ac:dyDescent="0.25">
      <c r="A250" s="39"/>
      <c r="B250" s="6"/>
      <c r="C250" s="5"/>
      <c r="D250" s="5"/>
      <c r="E250" s="6"/>
      <c r="F250" s="6"/>
      <c r="G250" s="6"/>
      <c r="H250" s="6"/>
      <c r="I250" s="6"/>
      <c r="J250" s="6"/>
      <c r="K250" s="6"/>
      <c r="L250" s="4"/>
      <c r="M250" s="23"/>
      <c r="N250" s="3" t="s">
        <v>406</v>
      </c>
      <c r="P250" s="19">
        <f>ROUND(+'Example 4 Assumptions Summary'!P43,0)</f>
        <v>89515</v>
      </c>
      <c r="Q250" s="4"/>
      <c r="R250" s="7"/>
      <c r="S250" s="7" t="str">
        <f>+N250</f>
        <v>Deferred outflow of resources from refinancing</v>
      </c>
      <c r="T250" s="182"/>
      <c r="U250" s="182">
        <f>+P250</f>
        <v>89515</v>
      </c>
    </row>
    <row r="251" spans="1:22" x14ac:dyDescent="0.25">
      <c r="A251" s="39"/>
      <c r="B251" s="6"/>
      <c r="C251" s="5"/>
      <c r="D251" s="5"/>
      <c r="E251" s="6"/>
      <c r="F251" s="6"/>
      <c r="G251" s="6"/>
      <c r="H251" s="6"/>
      <c r="I251" s="6"/>
      <c r="J251" s="6"/>
      <c r="K251" s="6"/>
      <c r="L251" s="4"/>
      <c r="M251" s="23" t="s">
        <v>360</v>
      </c>
      <c r="N251" s="23"/>
      <c r="O251" s="6"/>
      <c r="P251" s="6"/>
      <c r="Q251" s="4"/>
      <c r="R251" s="22" t="str">
        <f>M251</f>
        <v>[To record accual of bond interest payable and amortization of</v>
      </c>
      <c r="S251" s="23"/>
      <c r="T251" s="6"/>
      <c r="U251" s="117"/>
    </row>
    <row r="252" spans="1:22" x14ac:dyDescent="0.25">
      <c r="A252" s="39"/>
      <c r="B252" s="6"/>
      <c r="C252" s="5"/>
      <c r="D252" s="5"/>
      <c r="E252" s="6"/>
      <c r="F252" s="6"/>
      <c r="G252" s="6"/>
      <c r="H252" s="6"/>
      <c r="I252" s="6"/>
      <c r="J252" s="6"/>
      <c r="K252" s="6"/>
      <c r="L252" s="4"/>
      <c r="M252" s="23" t="s">
        <v>427</v>
      </c>
      <c r="N252" s="24"/>
      <c r="O252" s="6"/>
      <c r="P252" s="6"/>
      <c r="Q252" s="4"/>
      <c r="R252" s="24" t="str">
        <f>M252</f>
        <v>premium and deferred outflow of resources from bond refinancing]</v>
      </c>
      <c r="S252" s="24"/>
      <c r="T252" s="6"/>
      <c r="U252" s="117"/>
    </row>
    <row r="253" spans="1:22" x14ac:dyDescent="0.25">
      <c r="A253" s="39"/>
      <c r="B253" s="6"/>
      <c r="C253" s="5"/>
      <c r="D253" s="5"/>
      <c r="E253" s="6"/>
      <c r="F253" s="6"/>
      <c r="G253" s="6"/>
      <c r="H253" s="6"/>
      <c r="I253" s="6"/>
      <c r="J253" s="6"/>
      <c r="K253" s="6"/>
      <c r="L253" s="4"/>
      <c r="M253" s="23"/>
      <c r="N253" s="24"/>
      <c r="O253" s="6"/>
      <c r="P253" s="6"/>
      <c r="Q253" s="4"/>
      <c r="R253" s="24"/>
      <c r="S253" s="24"/>
      <c r="T253" s="6"/>
      <c r="U253" s="117"/>
    </row>
    <row r="254" spans="1:22" x14ac:dyDescent="0.25">
      <c r="A254" s="39"/>
      <c r="B254" s="6"/>
      <c r="C254" s="5"/>
      <c r="D254" s="5"/>
      <c r="E254" s="6"/>
      <c r="F254" s="6"/>
      <c r="G254" s="6"/>
      <c r="H254" s="6"/>
      <c r="I254" s="6"/>
      <c r="J254" s="6"/>
      <c r="K254" s="6"/>
      <c r="L254" s="4"/>
      <c r="M254" s="23"/>
      <c r="N254" s="24"/>
      <c r="O254" s="6"/>
      <c r="P254" s="6"/>
      <c r="Q254" s="4"/>
      <c r="R254" s="24"/>
      <c r="S254" s="24"/>
      <c r="T254" s="6"/>
      <c r="U254" s="117"/>
    </row>
    <row r="255" spans="1:22" ht="15.75" thickBot="1" x14ac:dyDescent="0.3">
      <c r="E255" s="228">
        <f>SUM(E6:E254)-SUM(F6:F255)</f>
        <v>0</v>
      </c>
      <c r="J255" s="228">
        <f>ROUND(SUM(J6:J254)-SUM(K6:K255),0)</f>
        <v>0</v>
      </c>
      <c r="O255" s="228">
        <f>ROUND(SUM(O6:O254)-SUM(P6:P255),0)</f>
        <v>0</v>
      </c>
      <c r="T255" s="228">
        <f>ROUND(SUM(T6:T254)-SUM(U6:U255),0)</f>
        <v>0</v>
      </c>
    </row>
    <row r="256" spans="1:22" s="75" customFormat="1" ht="14.65" customHeight="1" thickBot="1" x14ac:dyDescent="0.3">
      <c r="A256" s="231"/>
      <c r="B256" s="225"/>
      <c r="C256" s="229" t="s">
        <v>445</v>
      </c>
      <c r="D256" s="226"/>
      <c r="E256" s="226"/>
      <c r="F256" s="227"/>
      <c r="G256" s="225"/>
      <c r="H256" s="229" t="s">
        <v>445</v>
      </c>
      <c r="I256" s="226"/>
      <c r="J256" s="226"/>
      <c r="K256" s="227"/>
      <c r="L256" s="183"/>
      <c r="M256" s="229" t="s">
        <v>445</v>
      </c>
      <c r="N256" s="226"/>
      <c r="O256" s="226"/>
      <c r="P256" s="227"/>
      <c r="Q256" s="183"/>
      <c r="R256" s="229" t="s">
        <v>445</v>
      </c>
      <c r="S256" s="226"/>
      <c r="T256" s="226"/>
      <c r="U256" s="227"/>
      <c r="V256" s="183"/>
    </row>
  </sheetData>
  <mergeCells count="5">
    <mergeCell ref="C4:F4"/>
    <mergeCell ref="M4:P4"/>
    <mergeCell ref="R4:U4"/>
    <mergeCell ref="H4:K4"/>
    <mergeCell ref="A1:Q1"/>
  </mergeCells>
  <pageMargins left="0.7" right="0.7" top="0.75" bottom="0.75" header="0.3" footer="0.3"/>
  <pageSetup paperSize="5" scale="48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workbookViewId="0"/>
  </sheetViews>
  <sheetFormatPr defaultColWidth="9" defaultRowHeight="18.75" x14ac:dyDescent="0.3"/>
  <cols>
    <col min="1" max="1" width="4.140625" style="48" customWidth="1"/>
    <col min="2" max="2" width="12.42578125" style="48" customWidth="1"/>
    <col min="3" max="3" width="13.7109375" style="48" customWidth="1"/>
    <col min="4" max="4" width="60.42578125" style="48" customWidth="1"/>
    <col min="5" max="5" width="17.7109375" style="49" customWidth="1"/>
    <col min="6" max="6" width="12.140625" style="49" customWidth="1"/>
    <col min="7" max="7" width="13.140625" style="49" customWidth="1"/>
    <col min="8" max="8" width="12.42578125" style="49" bestFit="1" customWidth="1"/>
    <col min="9" max="9" width="19.7109375" style="48" bestFit="1" customWidth="1"/>
    <col min="10" max="10" width="12.5703125" style="48" customWidth="1"/>
    <col min="11" max="11" width="12.42578125" style="48" bestFit="1" customWidth="1"/>
    <col min="12" max="16384" width="9" style="48"/>
  </cols>
  <sheetData>
    <row r="1" spans="1:9" x14ac:dyDescent="0.3">
      <c r="A1" s="84"/>
    </row>
    <row r="2" spans="1:9" x14ac:dyDescent="0.3">
      <c r="B2" s="45" t="s">
        <v>155</v>
      </c>
    </row>
    <row r="3" spans="1:9" x14ac:dyDescent="0.3">
      <c r="B3" s="46"/>
    </row>
    <row r="4" spans="1:9" x14ac:dyDescent="0.3">
      <c r="B4" s="46"/>
      <c r="C4" s="48" t="s">
        <v>37</v>
      </c>
      <c r="F4" s="87">
        <v>41091</v>
      </c>
    </row>
    <row r="5" spans="1:9" x14ac:dyDescent="0.3">
      <c r="B5" s="46"/>
      <c r="C5" s="48" t="s">
        <v>869</v>
      </c>
      <c r="F5" s="48"/>
    </row>
    <row r="6" spans="1:9" x14ac:dyDescent="0.3">
      <c r="B6" s="46"/>
      <c r="C6" s="48" t="s">
        <v>38</v>
      </c>
      <c r="F6" s="48">
        <v>20</v>
      </c>
    </row>
    <row r="7" spans="1:9" x14ac:dyDescent="0.3">
      <c r="B7" s="46"/>
      <c r="C7" s="48" t="s">
        <v>39</v>
      </c>
      <c r="F7" s="71">
        <v>120000</v>
      </c>
    </row>
    <row r="8" spans="1:9" x14ac:dyDescent="0.3">
      <c r="B8" s="46"/>
      <c r="C8" s="48" t="s">
        <v>633</v>
      </c>
      <c r="F8" s="88">
        <v>2.5000000000000001E-2</v>
      </c>
    </row>
    <row r="9" spans="1:9" x14ac:dyDescent="0.3">
      <c r="B9" s="46"/>
      <c r="C9" s="48" t="s">
        <v>40</v>
      </c>
      <c r="F9" s="88">
        <v>0.02</v>
      </c>
    </row>
    <row r="10" spans="1:9" x14ac:dyDescent="0.3">
      <c r="B10" s="46"/>
      <c r="C10" s="48" t="s">
        <v>41</v>
      </c>
      <c r="E10" s="68"/>
    </row>
    <row r="11" spans="1:9" x14ac:dyDescent="0.3">
      <c r="B11" s="46"/>
      <c r="D11" s="48" t="s">
        <v>42</v>
      </c>
      <c r="E11" s="69">
        <v>1000000</v>
      </c>
      <c r="I11" s="697"/>
    </row>
    <row r="12" spans="1:9" x14ac:dyDescent="0.3">
      <c r="B12" s="46"/>
      <c r="D12" s="48" t="s">
        <v>43</v>
      </c>
      <c r="E12" s="67">
        <v>30</v>
      </c>
    </row>
    <row r="13" spans="1:9" x14ac:dyDescent="0.3">
      <c r="B13" s="46"/>
      <c r="D13" s="48" t="s">
        <v>44</v>
      </c>
      <c r="F13" s="69">
        <f>+E11/E12</f>
        <v>33333.333333333336</v>
      </c>
    </row>
    <row r="14" spans="1:9" x14ac:dyDescent="0.3">
      <c r="B14" s="46"/>
      <c r="C14" s="48" t="s">
        <v>663</v>
      </c>
      <c r="F14" s="69">
        <v>20000</v>
      </c>
    </row>
    <row r="15" spans="1:9" x14ac:dyDescent="0.3">
      <c r="B15" s="46"/>
      <c r="E15" s="69"/>
    </row>
    <row r="16" spans="1:9" x14ac:dyDescent="0.3">
      <c r="B16" s="46"/>
      <c r="E16" s="48"/>
    </row>
    <row r="17" spans="1:9" x14ac:dyDescent="0.3">
      <c r="B17" s="46"/>
      <c r="C17" s="60" t="s">
        <v>816</v>
      </c>
      <c r="D17" s="60"/>
      <c r="E17" s="60"/>
      <c r="F17" s="60"/>
    </row>
    <row r="18" spans="1:9" x14ac:dyDescent="0.3">
      <c r="B18" s="46"/>
      <c r="C18" s="60"/>
      <c r="D18" s="60" t="s">
        <v>194</v>
      </c>
      <c r="E18" s="89"/>
      <c r="F18" s="49">
        <f>+F7*2</f>
        <v>240000</v>
      </c>
    </row>
    <row r="19" spans="1:9" x14ac:dyDescent="0.3">
      <c r="B19" s="46"/>
      <c r="C19" s="60"/>
      <c r="D19" s="60" t="s">
        <v>177</v>
      </c>
      <c r="E19" s="97">
        <v>0.05</v>
      </c>
      <c r="F19" s="49">
        <f>+F7*(1+E19)</f>
        <v>126000</v>
      </c>
    </row>
    <row r="20" spans="1:9" x14ac:dyDescent="0.3">
      <c r="B20" s="46"/>
      <c r="C20" s="60"/>
      <c r="D20" s="48" t="s">
        <v>178</v>
      </c>
      <c r="E20" s="88">
        <v>0.01</v>
      </c>
      <c r="F20" s="49">
        <f>+F19*(1+E20)</f>
        <v>127260</v>
      </c>
    </row>
    <row r="21" spans="1:9" x14ac:dyDescent="0.3">
      <c r="B21" s="46"/>
      <c r="C21" s="60"/>
      <c r="D21" s="302" t="s">
        <v>876</v>
      </c>
      <c r="E21" s="56"/>
      <c r="F21" s="56"/>
    </row>
    <row r="22" spans="1:9" x14ac:dyDescent="0.3">
      <c r="D22" s="713" t="s">
        <v>874</v>
      </c>
      <c r="E22" s="714">
        <v>1.5</v>
      </c>
      <c r="F22" s="56">
        <f>(+F7*(1+E22)-F7)</f>
        <v>180000</v>
      </c>
    </row>
    <row r="23" spans="1:9" x14ac:dyDescent="0.3">
      <c r="B23" s="47"/>
      <c r="C23" s="60"/>
      <c r="D23" s="60"/>
      <c r="E23" s="60"/>
      <c r="F23" s="60"/>
    </row>
    <row r="24" spans="1:9" x14ac:dyDescent="0.3">
      <c r="B24" s="47"/>
      <c r="C24" s="60" t="s">
        <v>875</v>
      </c>
      <c r="D24" s="60"/>
      <c r="E24" s="60"/>
      <c r="F24" s="60"/>
      <c r="I24" s="712"/>
    </row>
    <row r="25" spans="1:9" x14ac:dyDescent="0.3">
      <c r="C25" s="60"/>
      <c r="D25" s="122" t="s">
        <v>173</v>
      </c>
      <c r="E25" s="60"/>
      <c r="F25" s="96">
        <v>17000</v>
      </c>
    </row>
    <row r="26" spans="1:9" x14ac:dyDescent="0.3">
      <c r="C26" s="60"/>
      <c r="D26" s="122" t="s">
        <v>174</v>
      </c>
      <c r="E26" s="60"/>
      <c r="F26" s="96">
        <v>17500</v>
      </c>
    </row>
    <row r="27" spans="1:9" x14ac:dyDescent="0.3">
      <c r="C27" s="60"/>
      <c r="D27" s="135" t="s">
        <v>175</v>
      </c>
      <c r="E27" s="48"/>
      <c r="F27" s="49">
        <v>18000</v>
      </c>
    </row>
    <row r="28" spans="1:9" x14ac:dyDescent="0.3">
      <c r="C28" s="60"/>
      <c r="D28" s="715" t="s">
        <v>195</v>
      </c>
      <c r="E28" s="302"/>
      <c r="F28" s="56">
        <v>25000</v>
      </c>
    </row>
    <row r="29" spans="1:9" x14ac:dyDescent="0.3">
      <c r="C29" s="60"/>
      <c r="D29" s="135"/>
      <c r="E29" s="48"/>
    </row>
    <row r="32" spans="1:9" x14ac:dyDescent="0.3">
      <c r="A32" s="50"/>
    </row>
    <row r="33" spans="1:8" x14ac:dyDescent="0.3">
      <c r="A33" s="51"/>
    </row>
    <row r="34" spans="1:8" ht="21" x14ac:dyDescent="0.45">
      <c r="A34" s="51"/>
      <c r="D34" s="122"/>
      <c r="E34" s="60"/>
      <c r="F34" s="96"/>
      <c r="G34" s="58"/>
      <c r="H34" s="58"/>
    </row>
    <row r="35" spans="1:8" x14ac:dyDescent="0.3">
      <c r="A35" s="51"/>
      <c r="D35" s="122"/>
      <c r="E35" s="60"/>
      <c r="F35" s="96"/>
    </row>
    <row r="36" spans="1:8" x14ac:dyDescent="0.3">
      <c r="A36" s="51"/>
      <c r="D36" s="122"/>
      <c r="E36" s="60"/>
      <c r="F36" s="96"/>
    </row>
    <row r="37" spans="1:8" x14ac:dyDescent="0.3">
      <c r="A37" s="50"/>
      <c r="E37" s="52"/>
      <c r="F37" s="52"/>
      <c r="G37" s="52"/>
      <c r="H37" s="48"/>
    </row>
    <row r="38" spans="1:8" x14ac:dyDescent="0.3">
      <c r="A38" s="50"/>
      <c r="E38" s="52"/>
      <c r="F38" s="52"/>
      <c r="G38" s="52"/>
      <c r="H38" s="48"/>
    </row>
    <row r="39" spans="1:8" x14ac:dyDescent="0.3">
      <c r="A39" s="50"/>
      <c r="E39" s="52"/>
      <c r="F39" s="52"/>
      <c r="G39" s="52"/>
      <c r="H39" s="48"/>
    </row>
    <row r="40" spans="1:8" x14ac:dyDescent="0.3">
      <c r="A40" s="50"/>
      <c r="E40" s="52"/>
      <c r="F40" s="52"/>
      <c r="G40" s="52"/>
      <c r="H40" s="48"/>
    </row>
    <row r="41" spans="1:8" x14ac:dyDescent="0.3">
      <c r="A41" s="50"/>
      <c r="E41" s="52"/>
      <c r="F41" s="52"/>
      <c r="G41" s="52"/>
      <c r="H41" s="48"/>
    </row>
    <row r="42" spans="1:8" x14ac:dyDescent="0.3">
      <c r="A42" s="51"/>
      <c r="E42" s="53"/>
      <c r="F42" s="53"/>
      <c r="G42" s="53"/>
      <c r="H42" s="48"/>
    </row>
    <row r="43" spans="1:8" x14ac:dyDescent="0.3">
      <c r="A43" s="51"/>
      <c r="H43" s="48"/>
    </row>
    <row r="44" spans="1:8" x14ac:dyDescent="0.3">
      <c r="A44" s="51"/>
      <c r="H44" s="48"/>
    </row>
    <row r="45" spans="1:8" x14ac:dyDescent="0.3">
      <c r="A45" s="51"/>
      <c r="H45" s="48"/>
    </row>
    <row r="46" spans="1:8" x14ac:dyDescent="0.3">
      <c r="A46" s="51"/>
    </row>
    <row r="47" spans="1:8" x14ac:dyDescent="0.3">
      <c r="A47" s="51"/>
    </row>
    <row r="48" spans="1:8" x14ac:dyDescent="0.3">
      <c r="A48" s="51"/>
    </row>
    <row r="49" spans="1:12" x14ac:dyDescent="0.3">
      <c r="A49" s="51"/>
    </row>
    <row r="50" spans="1:12" x14ac:dyDescent="0.3">
      <c r="A50" s="51"/>
    </row>
    <row r="51" spans="1:12" x14ac:dyDescent="0.3">
      <c r="A51" s="51"/>
    </row>
    <row r="52" spans="1:12" x14ac:dyDescent="0.3">
      <c r="A52" s="51"/>
    </row>
    <row r="53" spans="1:12" x14ac:dyDescent="0.3">
      <c r="A53" s="51"/>
    </row>
    <row r="57" spans="1:12" s="57" customFormat="1" x14ac:dyDescent="0.3">
      <c r="D57" s="66"/>
      <c r="E57" s="66"/>
      <c r="L57" s="54"/>
    </row>
    <row r="58" spans="1:12" x14ac:dyDescent="0.3">
      <c r="D58" s="49"/>
      <c r="F58" s="48"/>
    </row>
    <row r="59" spans="1:12" x14ac:dyDescent="0.3">
      <c r="E59" s="48"/>
      <c r="F59" s="48"/>
      <c r="G59" s="48"/>
      <c r="H59" s="48"/>
    </row>
    <row r="60" spans="1:12" x14ac:dyDescent="0.3">
      <c r="D60" s="49"/>
      <c r="F60" s="48"/>
      <c r="I60" s="49"/>
      <c r="J60" s="49"/>
    </row>
    <row r="61" spans="1:12" x14ac:dyDescent="0.3">
      <c r="D61" s="49"/>
      <c r="F61" s="48"/>
      <c r="I61" s="49"/>
      <c r="J61" s="49"/>
    </row>
    <row r="62" spans="1:12" x14ac:dyDescent="0.3">
      <c r="C62" s="55"/>
      <c r="E62" s="48"/>
      <c r="F62" s="48"/>
      <c r="G62" s="48"/>
      <c r="H62" s="48"/>
    </row>
    <row r="63" spans="1:12" x14ac:dyDescent="0.3">
      <c r="C63" s="55"/>
      <c r="E63" s="48"/>
      <c r="F63" s="48"/>
      <c r="G63" s="48"/>
      <c r="H63" s="48"/>
    </row>
    <row r="64" spans="1:12" x14ac:dyDescent="0.3">
      <c r="C64" s="55"/>
      <c r="E64" s="48"/>
      <c r="F64" s="48"/>
      <c r="G64" s="48"/>
      <c r="H64" s="48"/>
    </row>
    <row r="65" spans="3:8" x14ac:dyDescent="0.3">
      <c r="C65" s="55"/>
      <c r="E65" s="48"/>
      <c r="F65" s="48"/>
      <c r="G65" s="48"/>
      <c r="H65" s="48"/>
    </row>
    <row r="66" spans="3:8" x14ac:dyDescent="0.3">
      <c r="C66" s="55"/>
      <c r="D66" s="49"/>
    </row>
    <row r="67" spans="3:8" x14ac:dyDescent="0.3">
      <c r="C67" s="55"/>
      <c r="D67" s="49"/>
    </row>
    <row r="68" spans="3:8" x14ac:dyDescent="0.3">
      <c r="C68" s="55"/>
      <c r="D68" s="49"/>
    </row>
    <row r="69" spans="3:8" x14ac:dyDescent="0.3">
      <c r="C69" s="55"/>
      <c r="D69" s="49"/>
    </row>
    <row r="70" spans="3:8" x14ac:dyDescent="0.3">
      <c r="C70" s="55"/>
      <c r="D70" s="49"/>
    </row>
    <row r="71" spans="3:8" x14ac:dyDescent="0.3">
      <c r="C71" s="55"/>
      <c r="D71" s="49"/>
    </row>
    <row r="72" spans="3:8" x14ac:dyDescent="0.3">
      <c r="C72" s="55"/>
      <c r="D72" s="49"/>
    </row>
    <row r="73" spans="3:8" x14ac:dyDescent="0.3">
      <c r="C73" s="55"/>
      <c r="D73" s="49"/>
    </row>
    <row r="74" spans="3:8" x14ac:dyDescent="0.3">
      <c r="C74" s="55"/>
      <c r="D74" s="49"/>
    </row>
    <row r="75" spans="3:8" x14ac:dyDescent="0.3">
      <c r="C75" s="55"/>
      <c r="D75" s="49"/>
    </row>
    <row r="76" spans="3:8" x14ac:dyDescent="0.3">
      <c r="C76" s="55"/>
      <c r="D76" s="49"/>
    </row>
    <row r="77" spans="3:8" x14ac:dyDescent="0.3">
      <c r="C77" s="55"/>
      <c r="D77" s="49"/>
    </row>
    <row r="78" spans="3:8" x14ac:dyDescent="0.3">
      <c r="C78" s="55"/>
      <c r="D78" s="49"/>
    </row>
    <row r="79" spans="3:8" x14ac:dyDescent="0.3">
      <c r="C79" s="55"/>
      <c r="D79" s="49"/>
    </row>
    <row r="80" spans="3:8" x14ac:dyDescent="0.3">
      <c r="C80" s="55"/>
      <c r="D80" s="49"/>
    </row>
    <row r="81" spans="3:5" x14ac:dyDescent="0.3">
      <c r="C81" s="55"/>
      <c r="D81" s="49"/>
    </row>
    <row r="82" spans="3:5" x14ac:dyDescent="0.3">
      <c r="C82" s="55"/>
      <c r="D82" s="49"/>
    </row>
    <row r="83" spans="3:5" x14ac:dyDescent="0.3">
      <c r="C83" s="55"/>
      <c r="D83" s="49"/>
    </row>
    <row r="84" spans="3:5" x14ac:dyDescent="0.3">
      <c r="C84" s="55"/>
      <c r="D84" s="49"/>
    </row>
    <row r="85" spans="3:5" x14ac:dyDescent="0.3">
      <c r="C85" s="55"/>
      <c r="D85" s="49"/>
    </row>
    <row r="86" spans="3:5" x14ac:dyDescent="0.3">
      <c r="C86" s="55"/>
      <c r="D86" s="49"/>
    </row>
    <row r="87" spans="3:5" x14ac:dyDescent="0.3">
      <c r="C87" s="55"/>
      <c r="D87" s="49"/>
    </row>
    <row r="88" spans="3:5" x14ac:dyDescent="0.3">
      <c r="C88" s="55"/>
      <c r="D88" s="49"/>
    </row>
    <row r="89" spans="3:5" x14ac:dyDescent="0.3">
      <c r="C89" s="55"/>
      <c r="D89" s="49"/>
    </row>
    <row r="90" spans="3:5" x14ac:dyDescent="0.3">
      <c r="C90" s="55"/>
      <c r="D90" s="49"/>
    </row>
    <row r="91" spans="3:5" x14ac:dyDescent="0.3">
      <c r="C91" s="55"/>
      <c r="D91" s="49"/>
    </row>
    <row r="92" spans="3:5" x14ac:dyDescent="0.3">
      <c r="C92" s="55"/>
      <c r="D92" s="49"/>
      <c r="E92" s="56"/>
    </row>
    <row r="93" spans="3:5" x14ac:dyDescent="0.3">
      <c r="C93" s="55"/>
      <c r="D93" s="49"/>
    </row>
    <row r="94" spans="3:5" x14ac:dyDescent="0.3">
      <c r="C94" s="55"/>
      <c r="D94" s="55"/>
    </row>
    <row r="95" spans="3:5" x14ac:dyDescent="0.3">
      <c r="C95" s="55"/>
      <c r="D95" s="55"/>
    </row>
    <row r="96" spans="3:5" x14ac:dyDescent="0.3">
      <c r="C96" s="55"/>
      <c r="D96" s="55"/>
    </row>
    <row r="97" spans="3:4" x14ac:dyDescent="0.3">
      <c r="C97" s="55"/>
      <c r="D97" s="55"/>
    </row>
    <row r="98" spans="3:4" x14ac:dyDescent="0.3">
      <c r="C98" s="55"/>
      <c r="D98" s="55"/>
    </row>
    <row r="99" spans="3:4" x14ac:dyDescent="0.3">
      <c r="C99" s="55"/>
      <c r="D99" s="55"/>
    </row>
    <row r="100" spans="3:4" x14ac:dyDescent="0.3">
      <c r="C100" s="55"/>
      <c r="D100" s="55"/>
    </row>
    <row r="101" spans="3:4" x14ac:dyDescent="0.3">
      <c r="C101" s="55"/>
      <c r="D101" s="55"/>
    </row>
    <row r="102" spans="3:4" x14ac:dyDescent="0.3">
      <c r="C102" s="55"/>
      <c r="D102" s="55"/>
    </row>
    <row r="103" spans="3:4" x14ac:dyDescent="0.3">
      <c r="C103" s="55"/>
      <c r="D103" s="55"/>
    </row>
    <row r="104" spans="3:4" x14ac:dyDescent="0.3">
      <c r="C104" s="55"/>
      <c r="D104" s="55"/>
    </row>
    <row r="105" spans="3:4" x14ac:dyDescent="0.3">
      <c r="C105" s="55"/>
      <c r="D105" s="55"/>
    </row>
    <row r="106" spans="3:4" x14ac:dyDescent="0.3">
      <c r="C106" s="55"/>
      <c r="D106" s="55"/>
    </row>
  </sheetData>
  <pageMargins left="0.7" right="0.7" top="0.75" bottom="0.75" header="0.3" footer="0.3"/>
  <pageSetup scale="94" orientation="landscape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5"/>
  <sheetViews>
    <sheetView workbookViewId="0"/>
  </sheetViews>
  <sheetFormatPr defaultRowHeight="15" x14ac:dyDescent="0.25"/>
  <cols>
    <col min="1" max="1" width="4.140625" customWidth="1"/>
    <col min="2" max="2" width="12.140625" customWidth="1"/>
    <col min="3" max="3" width="11.140625" customWidth="1"/>
    <col min="4" max="5" width="11.42578125" customWidth="1"/>
    <col min="6" max="6" width="12.140625" customWidth="1"/>
    <col min="7" max="7" width="3.42578125" customWidth="1"/>
    <col min="8" max="11" width="12" customWidth="1"/>
    <col min="12" max="12" width="3.85546875" customWidth="1"/>
    <col min="13" max="14" width="12.140625" customWidth="1"/>
    <col min="15" max="15" width="2.28515625" customWidth="1"/>
    <col min="16" max="17" width="12.7109375" customWidth="1"/>
    <col min="18" max="18" width="3.5703125" customWidth="1"/>
    <col min="19" max="19" width="13.28515625" customWidth="1"/>
  </cols>
  <sheetData>
    <row r="1" spans="1:19" ht="18.75" x14ac:dyDescent="0.25">
      <c r="A1" s="63" t="s">
        <v>447</v>
      </c>
      <c r="B1" s="63"/>
      <c r="F1" s="84"/>
      <c r="G1" s="84"/>
    </row>
    <row r="3" spans="1:19" x14ac:dyDescent="0.25">
      <c r="A3" s="205"/>
    </row>
    <row r="5" spans="1:19" ht="14.25" customHeight="1" x14ac:dyDescent="0.25">
      <c r="B5" s="772" t="s">
        <v>858</v>
      </c>
      <c r="C5" s="772"/>
      <c r="D5" s="772"/>
      <c r="E5" s="772"/>
      <c r="F5" s="75"/>
      <c r="G5" s="1"/>
      <c r="H5" s="772" t="s">
        <v>456</v>
      </c>
      <c r="I5" s="772"/>
      <c r="J5" s="772"/>
      <c r="K5" s="772"/>
      <c r="L5" s="157"/>
      <c r="M5" s="832" t="s">
        <v>851</v>
      </c>
      <c r="N5" s="832"/>
      <c r="O5" s="832"/>
      <c r="P5" s="832"/>
      <c r="Q5" s="832"/>
      <c r="R5" s="832"/>
      <c r="S5" s="832"/>
    </row>
    <row r="6" spans="1:19" x14ac:dyDescent="0.25">
      <c r="B6" s="100">
        <f>+'Example 4 Assumptions Summary'!F20</f>
        <v>2612930</v>
      </c>
      <c r="C6" s="1" t="s">
        <v>121</v>
      </c>
      <c r="D6" s="1"/>
      <c r="E6" s="1"/>
      <c r="F6" s="11"/>
      <c r="G6" s="1"/>
      <c r="H6" s="100">
        <f>+'Example 4 Assumptions Summary'!N24</f>
        <v>2118614.4812500002</v>
      </c>
      <c r="I6" s="1" t="s">
        <v>121</v>
      </c>
      <c r="J6" s="1"/>
      <c r="K6" s="8"/>
      <c r="L6" s="8"/>
      <c r="M6" s="100">
        <f>+B9</f>
        <v>33799394.86574129</v>
      </c>
      <c r="N6" t="s">
        <v>48</v>
      </c>
      <c r="R6" s="8"/>
    </row>
    <row r="7" spans="1:19" x14ac:dyDescent="0.25">
      <c r="B7" s="11">
        <v>37</v>
      </c>
      <c r="C7" s="11" t="s">
        <v>379</v>
      </c>
      <c r="D7" s="11"/>
      <c r="E7" s="11"/>
      <c r="F7" s="1"/>
      <c r="G7" s="1"/>
      <c r="H7" s="11">
        <v>33</v>
      </c>
      <c r="I7" s="11" t="s">
        <v>317</v>
      </c>
      <c r="J7" s="1"/>
      <c r="K7" s="8"/>
      <c r="L7" s="8"/>
      <c r="M7" s="113">
        <f>+B6*3</f>
        <v>7838790</v>
      </c>
      <c r="N7" t="s">
        <v>298</v>
      </c>
      <c r="R7" s="8"/>
    </row>
    <row r="8" spans="1:19" ht="15.75" thickBot="1" x14ac:dyDescent="0.3">
      <c r="B8" s="159">
        <v>7.1249999999999994E-2</v>
      </c>
      <c r="C8" s="11" t="s">
        <v>125</v>
      </c>
      <c r="D8" s="11"/>
      <c r="E8" s="11"/>
      <c r="F8" s="11"/>
      <c r="G8" s="1"/>
      <c r="H8" s="160">
        <f>+'Example 4 Assumptions Summary'!M19</f>
        <v>5.0549999999999998E-2</v>
      </c>
      <c r="I8" s="11" t="s">
        <v>125</v>
      </c>
      <c r="J8" s="11"/>
      <c r="M8" s="114">
        <f>(SUM(M6:M7))</f>
        <v>41638184.86574129</v>
      </c>
      <c r="N8" t="s">
        <v>449</v>
      </c>
    </row>
    <row r="9" spans="1:19" ht="16.5" thickTop="1" thickBot="1" x14ac:dyDescent="0.3">
      <c r="B9" s="711">
        <f>-PV(B8,B7,B6)</f>
        <v>33799394.86574129</v>
      </c>
      <c r="C9" s="92" t="s">
        <v>126</v>
      </c>
      <c r="D9" s="92"/>
      <c r="E9" s="92"/>
      <c r="F9" s="11"/>
      <c r="G9" s="1"/>
      <c r="H9" s="232">
        <f>-PV(H8,H7,H6)</f>
        <v>33677873.905871764</v>
      </c>
      <c r="I9" s="92" t="s">
        <v>320</v>
      </c>
      <c r="J9" s="11"/>
    </row>
    <row r="10" spans="1:19" ht="16.5" thickTop="1" thickBot="1" x14ac:dyDescent="0.3">
      <c r="B10" s="8"/>
      <c r="C10" s="8"/>
      <c r="D10" s="8"/>
      <c r="E10" s="8"/>
      <c r="F10" s="8"/>
      <c r="G10" s="1"/>
      <c r="H10" s="233">
        <f>-F31</f>
        <v>-32020935.770477727</v>
      </c>
      <c r="I10" s="92" t="s">
        <v>642</v>
      </c>
      <c r="M10" s="685">
        <f>+H12</f>
        <v>1656938.1353940368</v>
      </c>
      <c r="N10" t="s">
        <v>850</v>
      </c>
    </row>
    <row r="11" spans="1:19" ht="15.75" thickTop="1" x14ac:dyDescent="0.25">
      <c r="B11" s="73"/>
      <c r="C11" s="92"/>
      <c r="D11" s="8"/>
      <c r="E11" s="11"/>
      <c r="F11" s="1"/>
      <c r="G11" s="1"/>
      <c r="I11" s="272" t="s">
        <v>643</v>
      </c>
      <c r="M11" s="136"/>
      <c r="N11" s="272" t="s">
        <v>878</v>
      </c>
    </row>
    <row r="12" spans="1:19" ht="15.75" thickBot="1" x14ac:dyDescent="0.3">
      <c r="B12" s="194"/>
      <c r="C12" s="92"/>
      <c r="D12" s="8"/>
      <c r="E12" s="11"/>
      <c r="F12" s="1"/>
      <c r="G12" s="1"/>
      <c r="H12" s="77">
        <f>SUM(H9:H10)</f>
        <v>1656938.1353940368</v>
      </c>
      <c r="I12" s="92" t="s">
        <v>455</v>
      </c>
    </row>
    <row r="13" spans="1:19" ht="15.75" thickTop="1" x14ac:dyDescent="0.25">
      <c r="B13" s="194"/>
      <c r="C13" s="92"/>
      <c r="D13" s="8"/>
      <c r="E13" s="11"/>
      <c r="F13" s="1"/>
      <c r="G13" s="1"/>
      <c r="H13" s="93"/>
      <c r="I13" s="92"/>
    </row>
    <row r="14" spans="1:19" x14ac:dyDescent="0.25">
      <c r="B14" s="8"/>
      <c r="C14" s="8"/>
      <c r="D14" s="8"/>
      <c r="E14" s="11"/>
      <c r="F14" s="1"/>
      <c r="G14" s="1"/>
    </row>
    <row r="15" spans="1:19" x14ac:dyDescent="0.25">
      <c r="B15" s="8"/>
      <c r="C15" s="11"/>
      <c r="D15" s="8"/>
      <c r="E15" s="8"/>
      <c r="F15" s="8"/>
      <c r="G15" s="8"/>
      <c r="H15" s="8"/>
      <c r="I15" s="8"/>
      <c r="J15" s="8"/>
      <c r="K15" s="8"/>
      <c r="L15" s="8"/>
      <c r="O15" s="8"/>
    </row>
    <row r="16" spans="1:19" ht="19.5" customHeight="1" x14ac:dyDescent="0.25">
      <c r="B16" s="826" t="s">
        <v>856</v>
      </c>
      <c r="C16" s="827"/>
      <c r="D16" s="827"/>
      <c r="E16" s="827"/>
      <c r="F16" s="828"/>
      <c r="G16" s="198"/>
      <c r="H16" s="826" t="s">
        <v>857</v>
      </c>
      <c r="I16" s="827"/>
      <c r="J16" s="827"/>
      <c r="K16" s="828"/>
      <c r="L16" s="8"/>
      <c r="O16" s="8"/>
    </row>
    <row r="17" spans="1:18" s="2" customFormat="1" ht="15.4" customHeight="1" x14ac:dyDescent="0.25">
      <c r="B17" s="829"/>
      <c r="C17" s="830"/>
      <c r="D17" s="830"/>
      <c r="E17" s="830"/>
      <c r="F17" s="831"/>
      <c r="G17" s="198"/>
      <c r="H17" s="829"/>
      <c r="I17" s="830"/>
      <c r="J17" s="830"/>
      <c r="K17" s="831"/>
      <c r="L17" s="10"/>
      <c r="M17" s="8"/>
      <c r="N17" s="61">
        <f>SUM(N22:N63)-N19</f>
        <v>0</v>
      </c>
      <c r="O17" s="10"/>
      <c r="P17" s="8"/>
      <c r="Q17" s="61">
        <f>SUM(Q22:Q61)-Q19</f>
        <v>0</v>
      </c>
      <c r="R17" s="8"/>
    </row>
    <row r="18" spans="1:18" s="2" customFormat="1" ht="48.4" customHeight="1" x14ac:dyDescent="0.25">
      <c r="B18" s="812" t="s">
        <v>7</v>
      </c>
      <c r="C18" s="812" t="s">
        <v>826</v>
      </c>
      <c r="D18" s="814" t="s">
        <v>113</v>
      </c>
      <c r="E18" s="814" t="s">
        <v>34</v>
      </c>
      <c r="F18" s="812" t="s">
        <v>33</v>
      </c>
      <c r="H18" s="812" t="s">
        <v>301</v>
      </c>
      <c r="I18" s="814" t="s">
        <v>113</v>
      </c>
      <c r="J18" s="814" t="s">
        <v>34</v>
      </c>
      <c r="K18" s="704" t="s">
        <v>33</v>
      </c>
      <c r="L18" s="10"/>
      <c r="M18" s="836" t="s">
        <v>448</v>
      </c>
      <c r="N18" s="836"/>
      <c r="O18" s="10"/>
      <c r="P18" s="836" t="s">
        <v>852</v>
      </c>
      <c r="Q18" s="836"/>
      <c r="R18" s="8"/>
    </row>
    <row r="19" spans="1:18" s="2" customFormat="1" x14ac:dyDescent="0.25">
      <c r="B19" s="813"/>
      <c r="C19" s="813"/>
      <c r="D19" s="815"/>
      <c r="E19" s="815"/>
      <c r="F19" s="813"/>
      <c r="G19" s="137"/>
      <c r="H19" s="813"/>
      <c r="I19" s="815"/>
      <c r="J19" s="815"/>
      <c r="K19" s="234"/>
      <c r="L19" s="10"/>
      <c r="M19" s="115" t="s">
        <v>129</v>
      </c>
      <c r="N19" s="115">
        <f>+M8</f>
        <v>41638184.86574129</v>
      </c>
      <c r="O19" s="10"/>
      <c r="P19" s="115" t="s">
        <v>129</v>
      </c>
      <c r="Q19" s="252">
        <f>ROUND(+M10,0)</f>
        <v>1656938</v>
      </c>
      <c r="R19" s="10"/>
    </row>
    <row r="20" spans="1:18" s="2" customFormat="1" ht="14.25" customHeight="1" x14ac:dyDescent="0.25">
      <c r="B20" s="825"/>
      <c r="C20" s="196">
        <f>'Example 4 Assumptions Summary'!$F$20</f>
        <v>2612930</v>
      </c>
      <c r="D20" s="244">
        <f>+B8</f>
        <v>7.1249999999999994E-2</v>
      </c>
      <c r="E20" s="133"/>
      <c r="F20" s="134">
        <f>+B9</f>
        <v>33799394.86574129</v>
      </c>
      <c r="G20" s="137"/>
      <c r="H20" s="134">
        <f>+H6</f>
        <v>2118614.4812500002</v>
      </c>
      <c r="I20" s="244">
        <f>+'Example 4 Assumptions Summary'!M19</f>
        <v>5.0549999999999998E-2</v>
      </c>
      <c r="J20" s="816"/>
      <c r="K20" s="134">
        <f>ROUND(+H9,0)</f>
        <v>33677874</v>
      </c>
      <c r="L20" s="10"/>
      <c r="M20" s="250" t="s">
        <v>128</v>
      </c>
      <c r="N20" s="251">
        <v>40</v>
      </c>
      <c r="O20" s="10"/>
      <c r="P20" s="115" t="s">
        <v>128</v>
      </c>
      <c r="Q20" s="101">
        <v>30</v>
      </c>
      <c r="R20" s="10"/>
    </row>
    <row r="21" spans="1:18" ht="15" hidden="1" customHeight="1" x14ac:dyDescent="0.25">
      <c r="B21" s="235" t="str">
        <f>'Example 4 Assumptions Summary'!B31</f>
        <v>7/1/20A0</v>
      </c>
      <c r="C21" s="32"/>
      <c r="D21" s="32"/>
      <c r="E21" s="76"/>
      <c r="F21" s="32"/>
      <c r="G21" s="11"/>
      <c r="H21" s="245"/>
      <c r="I21" s="245"/>
      <c r="J21" s="246"/>
      <c r="K21" s="245"/>
      <c r="L21" s="8"/>
      <c r="M21" s="35"/>
      <c r="N21" s="36"/>
      <c r="O21" s="8"/>
      <c r="P21" s="35"/>
      <c r="Q21" s="36"/>
      <c r="R21" s="8"/>
    </row>
    <row r="22" spans="1:18" ht="14.45" customHeight="1" x14ac:dyDescent="0.25">
      <c r="A22">
        <v>-2</v>
      </c>
      <c r="B22" s="235" t="str">
        <f>'Example 4 Assumptions Summary'!B32</f>
        <v>7/1/20A1</v>
      </c>
      <c r="C22" s="36">
        <f>+C20</f>
        <v>2612930</v>
      </c>
      <c r="D22" s="32"/>
      <c r="E22" s="36">
        <f>+C22</f>
        <v>2612930</v>
      </c>
      <c r="F22" s="36"/>
      <c r="G22" s="73"/>
      <c r="H22" s="247"/>
      <c r="I22" s="245"/>
      <c r="J22" s="247"/>
      <c r="K22" s="247"/>
      <c r="L22" s="8"/>
      <c r="M22" s="35" t="str">
        <f t="shared" ref="M22:M60" si="0">RIGHT(B23,4)</f>
        <v>20A2</v>
      </c>
      <c r="N22" s="36"/>
      <c r="O22" s="8"/>
      <c r="P22" s="35" t="str">
        <f>+M22</f>
        <v>20A2</v>
      </c>
      <c r="Q22" s="36"/>
      <c r="R22" s="8"/>
    </row>
    <row r="23" spans="1:18" ht="14.45" customHeight="1" thickBot="1" x14ac:dyDescent="0.3">
      <c r="A23">
        <v>-1</v>
      </c>
      <c r="B23" s="235" t="str">
        <f>'Example 4 Assumptions Summary'!B33</f>
        <v>7/1/20A2</v>
      </c>
      <c r="C23" s="36">
        <f>+C22</f>
        <v>2612930</v>
      </c>
      <c r="D23" s="36"/>
      <c r="E23" s="36">
        <f>+C23</f>
        <v>2612930</v>
      </c>
      <c r="F23" s="36"/>
      <c r="G23" s="73"/>
      <c r="H23" s="247"/>
      <c r="I23" s="247"/>
      <c r="J23" s="247"/>
      <c r="K23" s="247"/>
      <c r="L23" s="8"/>
      <c r="M23" s="35" t="str">
        <f t="shared" si="0"/>
        <v>20A3</v>
      </c>
      <c r="N23" s="36"/>
      <c r="O23" s="8"/>
      <c r="P23" s="35" t="str">
        <f t="shared" ref="P23:P60" si="1">+M23</f>
        <v>20A3</v>
      </c>
      <c r="Q23" s="36"/>
      <c r="R23" s="8"/>
    </row>
    <row r="24" spans="1:18" ht="14.45" customHeight="1" thickBot="1" x14ac:dyDescent="0.3">
      <c r="A24">
        <v>0</v>
      </c>
      <c r="B24" s="235" t="str">
        <f>'Example 4 Assumptions Summary'!B34</f>
        <v>7/1/20A3</v>
      </c>
      <c r="C24" s="36">
        <f t="shared" ref="C24:C61" si="2">+C23</f>
        <v>2612930</v>
      </c>
      <c r="D24" s="36"/>
      <c r="E24" s="36">
        <f>+C24</f>
        <v>2612930</v>
      </c>
      <c r="F24" s="236">
        <f>+B9</f>
        <v>33799394.86574129</v>
      </c>
      <c r="G24" s="73"/>
      <c r="H24" s="240"/>
      <c r="I24" s="240"/>
      <c r="J24" s="240"/>
      <c r="K24" s="240"/>
      <c r="L24" s="8"/>
      <c r="M24" s="35" t="str">
        <f t="shared" si="0"/>
        <v>20A4</v>
      </c>
      <c r="N24" s="36">
        <f>+$N$19/$N$20</f>
        <v>1040954.6216435323</v>
      </c>
      <c r="O24" s="8"/>
      <c r="P24" s="35" t="str">
        <f t="shared" si="1"/>
        <v>20A4</v>
      </c>
      <c r="Q24" s="240"/>
      <c r="R24" s="8"/>
    </row>
    <row r="25" spans="1:18" ht="14.45" customHeight="1" x14ac:dyDescent="0.25">
      <c r="A25">
        <v>1</v>
      </c>
      <c r="B25" s="235" t="str">
        <f>'Example 4 Assumptions Summary'!B35</f>
        <v>7/1/20A4</v>
      </c>
      <c r="C25" s="36">
        <f t="shared" si="2"/>
        <v>2612930</v>
      </c>
      <c r="D25" s="36">
        <f>+F24*$D$20</f>
        <v>2408206.8841840667</v>
      </c>
      <c r="E25" s="36">
        <f>+C25-D25</f>
        <v>204723.11581593333</v>
      </c>
      <c r="F25" s="36">
        <f>+F24-E25</f>
        <v>33594671.74992536</v>
      </c>
      <c r="G25" s="73"/>
      <c r="H25" s="240"/>
      <c r="I25" s="240"/>
      <c r="J25" s="240"/>
      <c r="K25" s="240"/>
      <c r="L25" s="8"/>
      <c r="M25" s="35" t="str">
        <f t="shared" si="0"/>
        <v>20A5</v>
      </c>
      <c r="N25" s="36">
        <f t="shared" ref="N25:N63" si="3">+$N$19/$N$20</f>
        <v>1040954.6216435323</v>
      </c>
      <c r="O25" s="8"/>
      <c r="P25" s="35" t="str">
        <f t="shared" si="1"/>
        <v>20A5</v>
      </c>
      <c r="Q25" s="240"/>
      <c r="R25" s="8"/>
    </row>
    <row r="26" spans="1:18" ht="14.45" customHeight="1" x14ac:dyDescent="0.25">
      <c r="A26">
        <v>2</v>
      </c>
      <c r="B26" s="235" t="str">
        <f>'Example 4 Assumptions Summary'!B36</f>
        <v>7/1/20A5</v>
      </c>
      <c r="C26" s="36">
        <f t="shared" si="2"/>
        <v>2612930</v>
      </c>
      <c r="D26" s="36">
        <f t="shared" ref="D26:D64" si="4">+F25*$D$20</f>
        <v>2393620.3621821818</v>
      </c>
      <c r="E26" s="36">
        <f t="shared" ref="E26:E64" si="5">+C26-D26</f>
        <v>219309.63781781821</v>
      </c>
      <c r="F26" s="36">
        <f t="shared" ref="F26:F60" si="6">+F25-E26</f>
        <v>33375362.112107541</v>
      </c>
      <c r="G26" s="73"/>
      <c r="H26" s="240"/>
      <c r="I26" s="240"/>
      <c r="J26" s="240"/>
      <c r="K26" s="240"/>
      <c r="L26" s="8"/>
      <c r="M26" s="35" t="str">
        <f t="shared" si="0"/>
        <v>20A6</v>
      </c>
      <c r="N26" s="36">
        <f t="shared" si="3"/>
        <v>1040954.6216435323</v>
      </c>
      <c r="O26" s="8"/>
      <c r="P26" s="35" t="str">
        <f t="shared" si="1"/>
        <v>20A6</v>
      </c>
      <c r="Q26" s="240"/>
      <c r="R26" s="8"/>
    </row>
    <row r="27" spans="1:18" ht="14.45" customHeight="1" x14ac:dyDescent="0.25">
      <c r="A27">
        <v>3</v>
      </c>
      <c r="B27" s="235" t="str">
        <f>'Example 4 Assumptions Summary'!B37</f>
        <v>7/1/20A6</v>
      </c>
      <c r="C27" s="36">
        <f t="shared" si="2"/>
        <v>2612930</v>
      </c>
      <c r="D27" s="36">
        <f t="shared" si="4"/>
        <v>2377994.5504876622</v>
      </c>
      <c r="E27" s="36">
        <f t="shared" si="5"/>
        <v>234935.4495123378</v>
      </c>
      <c r="F27" s="36">
        <f t="shared" si="6"/>
        <v>33140426.662595205</v>
      </c>
      <c r="G27" s="73"/>
      <c r="H27" s="240"/>
      <c r="I27" s="240"/>
      <c r="J27" s="240"/>
      <c r="K27" s="240"/>
      <c r="L27" s="8"/>
      <c r="M27" s="35" t="str">
        <f t="shared" si="0"/>
        <v>20A7</v>
      </c>
      <c r="N27" s="36">
        <f t="shared" si="3"/>
        <v>1040954.6216435323</v>
      </c>
      <c r="O27" s="8"/>
      <c r="P27" s="35" t="str">
        <f t="shared" si="1"/>
        <v>20A7</v>
      </c>
      <c r="Q27" s="240"/>
      <c r="R27" s="8"/>
    </row>
    <row r="28" spans="1:18" ht="14.45" customHeight="1" x14ac:dyDescent="0.25">
      <c r="A28">
        <v>4</v>
      </c>
      <c r="B28" s="235" t="str">
        <f>'Example 4 Assumptions Summary'!B38</f>
        <v>7/1/20A7</v>
      </c>
      <c r="C28" s="36">
        <f t="shared" si="2"/>
        <v>2612930</v>
      </c>
      <c r="D28" s="36">
        <f t="shared" si="4"/>
        <v>2361255.3997099083</v>
      </c>
      <c r="E28" s="36">
        <f t="shared" si="5"/>
        <v>251674.60029009171</v>
      </c>
      <c r="F28" s="36">
        <f t="shared" si="6"/>
        <v>32888752.062305115</v>
      </c>
      <c r="G28" s="73"/>
      <c r="H28" s="240"/>
      <c r="I28" s="240"/>
      <c r="J28" s="240"/>
      <c r="K28" s="240"/>
      <c r="L28" s="8"/>
      <c r="M28" s="35" t="str">
        <f t="shared" si="0"/>
        <v>20A8</v>
      </c>
      <c r="N28" s="36">
        <f t="shared" si="3"/>
        <v>1040954.6216435323</v>
      </c>
      <c r="O28" s="8"/>
      <c r="P28" s="35" t="str">
        <f t="shared" si="1"/>
        <v>20A8</v>
      </c>
      <c r="Q28" s="240"/>
      <c r="R28" s="8"/>
    </row>
    <row r="29" spans="1:18" ht="14.45" customHeight="1" x14ac:dyDescent="0.25">
      <c r="A29">
        <v>5</v>
      </c>
      <c r="B29" s="235" t="str">
        <f>'Example 4 Assumptions Summary'!B39</f>
        <v>7/1/20A8</v>
      </c>
      <c r="C29" s="36">
        <f t="shared" si="2"/>
        <v>2612930</v>
      </c>
      <c r="D29" s="36">
        <f t="shared" si="4"/>
        <v>2343323.5844392395</v>
      </c>
      <c r="E29" s="36">
        <f t="shared" si="5"/>
        <v>269606.41556076054</v>
      </c>
      <c r="F29" s="36">
        <f t="shared" si="6"/>
        <v>32619145.646744356</v>
      </c>
      <c r="G29" s="73"/>
      <c r="H29" s="240"/>
      <c r="I29" s="240"/>
      <c r="J29" s="240"/>
      <c r="K29" s="240"/>
      <c r="L29" s="8"/>
      <c r="M29" s="35" t="str">
        <f t="shared" si="0"/>
        <v>20A9</v>
      </c>
      <c r="N29" s="36">
        <f t="shared" si="3"/>
        <v>1040954.6216435323</v>
      </c>
      <c r="O29" s="8"/>
      <c r="P29" s="35" t="str">
        <f t="shared" si="1"/>
        <v>20A9</v>
      </c>
      <c r="Q29" s="240"/>
      <c r="R29" s="8"/>
    </row>
    <row r="30" spans="1:18" ht="14.45" customHeight="1" thickBot="1" x14ac:dyDescent="0.3">
      <c r="A30">
        <v>6</v>
      </c>
      <c r="B30" s="235" t="str">
        <f>'Example 4 Assumptions Summary'!B40</f>
        <v>7/1/20A9</v>
      </c>
      <c r="C30" s="36">
        <f t="shared" si="2"/>
        <v>2612930</v>
      </c>
      <c r="D30" s="36">
        <f t="shared" si="4"/>
        <v>2324114.1273305351</v>
      </c>
      <c r="E30" s="36">
        <f t="shared" si="5"/>
        <v>288815.87266946491</v>
      </c>
      <c r="F30" s="36">
        <f t="shared" si="6"/>
        <v>32330329.77407489</v>
      </c>
      <c r="G30" s="73"/>
      <c r="H30" s="240"/>
      <c r="I30" s="240"/>
      <c r="J30" s="240"/>
      <c r="K30" s="240"/>
      <c r="L30" s="8"/>
      <c r="M30" s="35" t="str">
        <f t="shared" si="0"/>
        <v>20B0</v>
      </c>
      <c r="N30" s="36">
        <f t="shared" si="3"/>
        <v>1040954.6216435323</v>
      </c>
      <c r="O30" s="8"/>
      <c r="P30" s="35" t="str">
        <f>+M30</f>
        <v>20B0</v>
      </c>
      <c r="Q30" s="240"/>
      <c r="R30" s="8"/>
    </row>
    <row r="31" spans="1:18" ht="14.45" customHeight="1" thickBot="1" x14ac:dyDescent="0.3">
      <c r="A31" s="13">
        <v>7</v>
      </c>
      <c r="B31" s="237" t="str">
        <f>'Example 4 Assumptions Summary'!B41</f>
        <v>7/1/20B0</v>
      </c>
      <c r="C31" s="38">
        <f t="shared" si="2"/>
        <v>2612930</v>
      </c>
      <c r="D31" s="38">
        <f t="shared" si="4"/>
        <v>2303535.9964028355</v>
      </c>
      <c r="E31" s="38">
        <f t="shared" si="5"/>
        <v>309394.00359716453</v>
      </c>
      <c r="F31" s="238">
        <f t="shared" si="6"/>
        <v>32020935.770477727</v>
      </c>
      <c r="G31" s="12"/>
      <c r="H31" s="243"/>
      <c r="I31" s="243"/>
      <c r="J31" s="243"/>
      <c r="K31" s="106"/>
      <c r="L31" s="8"/>
      <c r="M31" s="35" t="str">
        <f t="shared" si="0"/>
        <v>20B1</v>
      </c>
      <c r="N31" s="36">
        <f t="shared" si="3"/>
        <v>1040954.6216435323</v>
      </c>
      <c r="O31" s="8"/>
      <c r="P31" s="64" t="str">
        <f>+M31</f>
        <v>20B1</v>
      </c>
      <c r="Q31" s="36">
        <f>+$Q$19/$Q$20</f>
        <v>55231.26666666667</v>
      </c>
      <c r="R31" s="8"/>
    </row>
    <row r="32" spans="1:18" ht="14.45" customHeight="1" thickBot="1" x14ac:dyDescent="0.3">
      <c r="A32">
        <v>8</v>
      </c>
      <c r="B32" s="239" t="str">
        <f>'Example 4 Assumptions Summary'!B42</f>
        <v>7/1/20B1</v>
      </c>
      <c r="C32" s="240">
        <f>+C31</f>
        <v>2612930</v>
      </c>
      <c r="D32" s="240">
        <f>+F31*$D$20</f>
        <v>2281491.6736465381</v>
      </c>
      <c r="E32" s="240">
        <f t="shared" si="5"/>
        <v>331438.32635346195</v>
      </c>
      <c r="F32" s="241">
        <f>+F31-E32</f>
        <v>31689497.444124267</v>
      </c>
      <c r="G32" s="11"/>
      <c r="H32" s="36">
        <f t="shared" ref="H32:H63" si="7">+$H$20</f>
        <v>2118614.4812500002</v>
      </c>
      <c r="I32" s="36">
        <f>+K20*$I$20</f>
        <v>1702416.5307</v>
      </c>
      <c r="J32" s="36">
        <f t="shared" ref="J32:J64" si="8">+H32-I32</f>
        <v>416197.95055000018</v>
      </c>
      <c r="K32" s="32">
        <f>+K20-J32</f>
        <v>33261676.049449999</v>
      </c>
      <c r="L32" s="8"/>
      <c r="M32" s="35" t="str">
        <f t="shared" si="0"/>
        <v>20B2</v>
      </c>
      <c r="N32" s="247">
        <f t="shared" si="3"/>
        <v>1040954.6216435323</v>
      </c>
      <c r="O32" s="8"/>
      <c r="P32" s="35" t="str">
        <f t="shared" si="1"/>
        <v>20B2</v>
      </c>
      <c r="Q32" s="36">
        <f>+$Q$19/$Q$20</f>
        <v>55231.26666666667</v>
      </c>
      <c r="R32" s="8"/>
    </row>
    <row r="33" spans="1:18" x14ac:dyDescent="0.25">
      <c r="A33">
        <v>9</v>
      </c>
      <c r="B33" s="239" t="str">
        <f>'Example 4 Assumptions Summary'!B43</f>
        <v>7/1/20B2</v>
      </c>
      <c r="C33" s="240">
        <f t="shared" si="2"/>
        <v>2612930</v>
      </c>
      <c r="D33" s="240">
        <f t="shared" si="4"/>
        <v>2257876.6928938539</v>
      </c>
      <c r="E33" s="240">
        <f t="shared" si="5"/>
        <v>355053.30710614612</v>
      </c>
      <c r="F33" s="240">
        <f t="shared" si="6"/>
        <v>31334444.137018122</v>
      </c>
      <c r="G33" s="11"/>
      <c r="H33" s="36">
        <f t="shared" si="7"/>
        <v>2118614.4812500002</v>
      </c>
      <c r="I33" s="36">
        <f>+K32*$I$20</f>
        <v>1681377.7242996974</v>
      </c>
      <c r="J33" s="36">
        <f t="shared" si="8"/>
        <v>437236.75695030275</v>
      </c>
      <c r="K33" s="32">
        <f>+K32-J33</f>
        <v>32824439.292499695</v>
      </c>
      <c r="L33" s="8"/>
      <c r="M33" s="35" t="str">
        <f t="shared" si="0"/>
        <v>20B3</v>
      </c>
      <c r="N33" s="247">
        <f t="shared" si="3"/>
        <v>1040954.6216435323</v>
      </c>
      <c r="O33" s="8"/>
      <c r="P33" s="35" t="str">
        <f t="shared" si="1"/>
        <v>20B3</v>
      </c>
      <c r="Q33" s="36">
        <f t="shared" ref="Q33:Q60" si="9">+$Q$19/$Q$20</f>
        <v>55231.26666666667</v>
      </c>
      <c r="R33" s="8"/>
    </row>
    <row r="34" spans="1:18" x14ac:dyDescent="0.25">
      <c r="A34">
        <v>10</v>
      </c>
      <c r="B34" s="239" t="str">
        <f>'Example 4 Assumptions Summary'!B44</f>
        <v>7/1/20B3</v>
      </c>
      <c r="C34" s="240">
        <f t="shared" si="2"/>
        <v>2612930</v>
      </c>
      <c r="D34" s="240">
        <f t="shared" si="4"/>
        <v>2232579.1447625412</v>
      </c>
      <c r="E34" s="240">
        <f t="shared" si="5"/>
        <v>380350.85523745883</v>
      </c>
      <c r="F34" s="240">
        <f t="shared" si="6"/>
        <v>30954093.281780664</v>
      </c>
      <c r="G34" s="11"/>
      <c r="H34" s="36">
        <f t="shared" si="7"/>
        <v>2118614.4812500002</v>
      </c>
      <c r="I34" s="36">
        <f t="shared" ref="I34:I64" si="10">+K33*$I$20</f>
        <v>1659275.4062358595</v>
      </c>
      <c r="J34" s="36">
        <f t="shared" si="8"/>
        <v>459339.07501414069</v>
      </c>
      <c r="K34" s="32">
        <f t="shared" ref="K34:K63" si="11">+K33-J34</f>
        <v>32365100.217485555</v>
      </c>
      <c r="L34" s="8"/>
      <c r="M34" s="35" t="str">
        <f t="shared" si="0"/>
        <v>20B4</v>
      </c>
      <c r="N34" s="247">
        <f t="shared" si="3"/>
        <v>1040954.6216435323</v>
      </c>
      <c r="O34" s="8"/>
      <c r="P34" s="35" t="str">
        <f t="shared" si="1"/>
        <v>20B4</v>
      </c>
      <c r="Q34" s="36">
        <f t="shared" si="9"/>
        <v>55231.26666666667</v>
      </c>
      <c r="R34" s="8"/>
    </row>
    <row r="35" spans="1:18" x14ac:dyDescent="0.25">
      <c r="A35">
        <v>11</v>
      </c>
      <c r="B35" s="239" t="str">
        <f>'Example 4 Assumptions Summary'!B45</f>
        <v>7/1/20B4</v>
      </c>
      <c r="C35" s="240">
        <f t="shared" si="2"/>
        <v>2612930</v>
      </c>
      <c r="D35" s="240">
        <f t="shared" si="4"/>
        <v>2205479.1463268721</v>
      </c>
      <c r="E35" s="240">
        <f t="shared" si="5"/>
        <v>407450.85367312795</v>
      </c>
      <c r="F35" s="240">
        <f t="shared" si="6"/>
        <v>30546642.428107537</v>
      </c>
      <c r="G35" s="11"/>
      <c r="H35" s="36">
        <f t="shared" si="7"/>
        <v>2118614.4812500002</v>
      </c>
      <c r="I35" s="36">
        <f t="shared" si="10"/>
        <v>1636055.8159938948</v>
      </c>
      <c r="J35" s="36">
        <f t="shared" si="8"/>
        <v>482558.66525610536</v>
      </c>
      <c r="K35" s="32">
        <f t="shared" si="11"/>
        <v>31882541.552229449</v>
      </c>
      <c r="L35" s="8"/>
      <c r="M35" s="35" t="str">
        <f t="shared" si="0"/>
        <v>20B5</v>
      </c>
      <c r="N35" s="247">
        <f t="shared" si="3"/>
        <v>1040954.6216435323</v>
      </c>
      <c r="O35" s="8"/>
      <c r="P35" s="35" t="str">
        <f t="shared" si="1"/>
        <v>20B5</v>
      </c>
      <c r="Q35" s="36">
        <f t="shared" si="9"/>
        <v>55231.26666666667</v>
      </c>
      <c r="R35" s="8"/>
    </row>
    <row r="36" spans="1:18" x14ac:dyDescent="0.25">
      <c r="A36">
        <v>12</v>
      </c>
      <c r="B36" s="239" t="str">
        <f>'Example 4 Assumptions Summary'!B46</f>
        <v>7/1/20B5</v>
      </c>
      <c r="C36" s="240">
        <f t="shared" si="2"/>
        <v>2612930</v>
      </c>
      <c r="D36" s="240">
        <f t="shared" si="4"/>
        <v>2176448.2730026618</v>
      </c>
      <c r="E36" s="240">
        <f t="shared" si="5"/>
        <v>436481.72699733824</v>
      </c>
      <c r="F36" s="240">
        <f t="shared" si="6"/>
        <v>30110160.701110199</v>
      </c>
      <c r="G36" s="11"/>
      <c r="H36" s="36">
        <f t="shared" si="7"/>
        <v>2118614.4812500002</v>
      </c>
      <c r="I36" s="36">
        <f t="shared" si="10"/>
        <v>1611662.4754651985</v>
      </c>
      <c r="J36" s="36">
        <f t="shared" si="8"/>
        <v>506952.00578480167</v>
      </c>
      <c r="K36" s="32">
        <f t="shared" si="11"/>
        <v>31375589.546444647</v>
      </c>
      <c r="L36" s="8"/>
      <c r="M36" s="35" t="str">
        <f t="shared" si="0"/>
        <v>20B6</v>
      </c>
      <c r="N36" s="247">
        <f t="shared" si="3"/>
        <v>1040954.6216435323</v>
      </c>
      <c r="O36" s="8"/>
      <c r="P36" s="35" t="str">
        <f t="shared" si="1"/>
        <v>20B6</v>
      </c>
      <c r="Q36" s="36">
        <f t="shared" si="9"/>
        <v>55231.26666666667</v>
      </c>
      <c r="R36" s="8"/>
    </row>
    <row r="37" spans="1:18" x14ac:dyDescent="0.25">
      <c r="A37">
        <v>13</v>
      </c>
      <c r="B37" s="239" t="str">
        <f>'Example 4 Assumptions Summary'!B47</f>
        <v>7/1/20B6</v>
      </c>
      <c r="C37" s="240">
        <f t="shared" si="2"/>
        <v>2612930</v>
      </c>
      <c r="D37" s="240">
        <f t="shared" si="4"/>
        <v>2145348.9499541014</v>
      </c>
      <c r="E37" s="240">
        <f t="shared" si="5"/>
        <v>467581.05004589865</v>
      </c>
      <c r="F37" s="240">
        <f t="shared" si="6"/>
        <v>29642579.651064299</v>
      </c>
      <c r="G37" s="11"/>
      <c r="H37" s="36">
        <f t="shared" si="7"/>
        <v>2118614.4812500002</v>
      </c>
      <c r="I37" s="36">
        <f t="shared" si="10"/>
        <v>1586036.0515727769</v>
      </c>
      <c r="J37" s="36">
        <f t="shared" si="8"/>
        <v>532578.42967722332</v>
      </c>
      <c r="K37" s="32">
        <f t="shared" si="11"/>
        <v>30843011.116767425</v>
      </c>
      <c r="L37" s="8"/>
      <c r="M37" s="35" t="str">
        <f t="shared" si="0"/>
        <v>20B7</v>
      </c>
      <c r="N37" s="247">
        <f t="shared" si="3"/>
        <v>1040954.6216435323</v>
      </c>
      <c r="O37" s="8"/>
      <c r="P37" s="35" t="str">
        <f t="shared" si="1"/>
        <v>20B7</v>
      </c>
      <c r="Q37" s="36">
        <f t="shared" si="9"/>
        <v>55231.26666666667</v>
      </c>
      <c r="R37" s="8"/>
    </row>
    <row r="38" spans="1:18" x14ac:dyDescent="0.25">
      <c r="A38">
        <v>14</v>
      </c>
      <c r="B38" s="239" t="str">
        <f>'Example 4 Assumptions Summary'!B48</f>
        <v>7/1/20B7</v>
      </c>
      <c r="C38" s="240">
        <f t="shared" si="2"/>
        <v>2612930</v>
      </c>
      <c r="D38" s="240">
        <f t="shared" si="4"/>
        <v>2112033.800138331</v>
      </c>
      <c r="E38" s="240">
        <f t="shared" si="5"/>
        <v>500896.19986166898</v>
      </c>
      <c r="F38" s="240">
        <f t="shared" si="6"/>
        <v>29141683.451202631</v>
      </c>
      <c r="G38" s="11"/>
      <c r="H38" s="36">
        <f t="shared" si="7"/>
        <v>2118614.4812500002</v>
      </c>
      <c r="I38" s="36">
        <f t="shared" si="10"/>
        <v>1559114.2119525932</v>
      </c>
      <c r="J38" s="36">
        <f t="shared" si="8"/>
        <v>559500.26929740701</v>
      </c>
      <c r="K38" s="32">
        <f t="shared" si="11"/>
        <v>30283510.847470019</v>
      </c>
      <c r="L38" s="8"/>
      <c r="M38" s="35" t="str">
        <f t="shared" si="0"/>
        <v>20B8</v>
      </c>
      <c r="N38" s="247">
        <f t="shared" si="3"/>
        <v>1040954.6216435323</v>
      </c>
      <c r="O38" s="8"/>
      <c r="P38" s="35" t="str">
        <f t="shared" si="1"/>
        <v>20B8</v>
      </c>
      <c r="Q38" s="36">
        <f t="shared" si="9"/>
        <v>55231.26666666667</v>
      </c>
      <c r="R38" s="8"/>
    </row>
    <row r="39" spans="1:18" x14ac:dyDescent="0.25">
      <c r="A39">
        <v>15</v>
      </c>
      <c r="B39" s="239" t="str">
        <f>'Example 4 Assumptions Summary'!B49</f>
        <v>7/1/20B8</v>
      </c>
      <c r="C39" s="240">
        <f t="shared" si="2"/>
        <v>2612930</v>
      </c>
      <c r="D39" s="240">
        <f t="shared" si="4"/>
        <v>2076344.9458981873</v>
      </c>
      <c r="E39" s="240">
        <f t="shared" si="5"/>
        <v>536585.05410181265</v>
      </c>
      <c r="F39" s="240">
        <f t="shared" si="6"/>
        <v>28605098.397100817</v>
      </c>
      <c r="G39" s="11"/>
      <c r="H39" s="36">
        <f t="shared" si="7"/>
        <v>2118614.4812500002</v>
      </c>
      <c r="I39" s="36">
        <f t="shared" si="10"/>
        <v>1530831.4733396093</v>
      </c>
      <c r="J39" s="36">
        <f t="shared" si="8"/>
        <v>587783.00791039085</v>
      </c>
      <c r="K39" s="32">
        <f t="shared" si="11"/>
        <v>29695727.83955963</v>
      </c>
      <c r="L39" s="8"/>
      <c r="M39" s="35" t="str">
        <f t="shared" si="0"/>
        <v>20B9</v>
      </c>
      <c r="N39" s="247">
        <f t="shared" si="3"/>
        <v>1040954.6216435323</v>
      </c>
      <c r="O39" s="8"/>
      <c r="P39" s="35" t="str">
        <f t="shared" si="1"/>
        <v>20B9</v>
      </c>
      <c r="Q39" s="36">
        <f t="shared" si="9"/>
        <v>55231.26666666667</v>
      </c>
      <c r="R39" s="8"/>
    </row>
    <row r="40" spans="1:18" x14ac:dyDescent="0.25">
      <c r="A40">
        <v>16</v>
      </c>
      <c r="B40" s="239" t="str">
        <f>'Example 4 Assumptions Summary'!B50</f>
        <v>7/1/20B9</v>
      </c>
      <c r="C40" s="240">
        <f t="shared" si="2"/>
        <v>2612930</v>
      </c>
      <c r="D40" s="240">
        <f t="shared" si="4"/>
        <v>2038113.2607934331</v>
      </c>
      <c r="E40" s="240">
        <f t="shared" si="5"/>
        <v>574816.73920656694</v>
      </c>
      <c r="F40" s="240">
        <f t="shared" si="6"/>
        <v>28030281.65789425</v>
      </c>
      <c r="G40" s="11"/>
      <c r="H40" s="36">
        <f t="shared" si="7"/>
        <v>2118614.4812500002</v>
      </c>
      <c r="I40" s="36">
        <f t="shared" si="10"/>
        <v>1501119.0422897392</v>
      </c>
      <c r="J40" s="36">
        <f t="shared" si="8"/>
        <v>617495.43896026094</v>
      </c>
      <c r="K40" s="32">
        <f t="shared" si="11"/>
        <v>29078232.400599368</v>
      </c>
      <c r="L40" s="8"/>
      <c r="M40" s="35" t="str">
        <f t="shared" si="0"/>
        <v>20C0</v>
      </c>
      <c r="N40" s="247">
        <f t="shared" si="3"/>
        <v>1040954.6216435323</v>
      </c>
      <c r="O40" s="8"/>
      <c r="P40" s="35" t="str">
        <f t="shared" si="1"/>
        <v>20C0</v>
      </c>
      <c r="Q40" s="36">
        <f t="shared" si="9"/>
        <v>55231.26666666667</v>
      </c>
      <c r="R40" s="8"/>
    </row>
    <row r="41" spans="1:18" x14ac:dyDescent="0.25">
      <c r="A41">
        <v>17</v>
      </c>
      <c r="B41" s="239" t="str">
        <f>'Example 4 Assumptions Summary'!B51</f>
        <v>7/1/20C0</v>
      </c>
      <c r="C41" s="240">
        <f t="shared" si="2"/>
        <v>2612930</v>
      </c>
      <c r="D41" s="240">
        <f t="shared" si="4"/>
        <v>1997157.5681249651</v>
      </c>
      <c r="E41" s="240">
        <f t="shared" si="5"/>
        <v>615772.43187503493</v>
      </c>
      <c r="F41" s="240">
        <f t="shared" si="6"/>
        <v>27414509.226019215</v>
      </c>
      <c r="G41" s="11"/>
      <c r="H41" s="36">
        <f t="shared" si="7"/>
        <v>2118614.4812500002</v>
      </c>
      <c r="I41" s="36">
        <f t="shared" si="10"/>
        <v>1469904.6478502981</v>
      </c>
      <c r="J41" s="36">
        <f t="shared" si="8"/>
        <v>648709.8333997021</v>
      </c>
      <c r="K41" s="32">
        <f t="shared" si="11"/>
        <v>28429522.567199666</v>
      </c>
      <c r="L41" s="8"/>
      <c r="M41" s="35" t="str">
        <f t="shared" si="0"/>
        <v>20C1</v>
      </c>
      <c r="N41" s="247">
        <f t="shared" si="3"/>
        <v>1040954.6216435323</v>
      </c>
      <c r="O41" s="8"/>
      <c r="P41" s="35" t="str">
        <f t="shared" si="1"/>
        <v>20C1</v>
      </c>
      <c r="Q41" s="36">
        <f t="shared" si="9"/>
        <v>55231.26666666667</v>
      </c>
      <c r="R41" s="8"/>
    </row>
    <row r="42" spans="1:18" x14ac:dyDescent="0.25">
      <c r="A42">
        <v>18</v>
      </c>
      <c r="B42" s="239" t="str">
        <f>'Example 4 Assumptions Summary'!B52</f>
        <v>7/1/20C1</v>
      </c>
      <c r="C42" s="240">
        <f t="shared" si="2"/>
        <v>2612930</v>
      </c>
      <c r="D42" s="240">
        <f t="shared" si="4"/>
        <v>1953283.7823538689</v>
      </c>
      <c r="E42" s="240">
        <f t="shared" si="5"/>
        <v>659646.21764613106</v>
      </c>
      <c r="F42" s="240">
        <f t="shared" si="6"/>
        <v>26754863.008373085</v>
      </c>
      <c r="G42" s="11"/>
      <c r="H42" s="36">
        <f t="shared" si="7"/>
        <v>2118614.4812500002</v>
      </c>
      <c r="I42" s="36">
        <f t="shared" si="10"/>
        <v>1437112.365771943</v>
      </c>
      <c r="J42" s="36">
        <f t="shared" si="8"/>
        <v>681502.11547805718</v>
      </c>
      <c r="K42" s="32">
        <f t="shared" si="11"/>
        <v>27748020.451721609</v>
      </c>
      <c r="L42" s="8"/>
      <c r="M42" s="35" t="str">
        <f t="shared" si="0"/>
        <v>20C2</v>
      </c>
      <c r="N42" s="247">
        <f t="shared" si="3"/>
        <v>1040954.6216435323</v>
      </c>
      <c r="O42" s="8"/>
      <c r="P42" s="35" t="str">
        <f t="shared" si="1"/>
        <v>20C2</v>
      </c>
      <c r="Q42" s="36">
        <f t="shared" si="9"/>
        <v>55231.26666666667</v>
      </c>
      <c r="R42" s="8"/>
    </row>
    <row r="43" spans="1:18" x14ac:dyDescent="0.25">
      <c r="A43">
        <v>19</v>
      </c>
      <c r="B43" s="239" t="str">
        <f>'Example 4 Assumptions Summary'!B53</f>
        <v>7/1/20C2</v>
      </c>
      <c r="C43" s="240">
        <f t="shared" si="2"/>
        <v>2612930</v>
      </c>
      <c r="D43" s="240">
        <f t="shared" si="4"/>
        <v>1906283.9893465822</v>
      </c>
      <c r="E43" s="240">
        <f t="shared" si="5"/>
        <v>706646.01065341779</v>
      </c>
      <c r="F43" s="240">
        <f t="shared" si="6"/>
        <v>26048216.997719668</v>
      </c>
      <c r="G43" s="11"/>
      <c r="H43" s="36">
        <f t="shared" si="7"/>
        <v>2118614.4812500002</v>
      </c>
      <c r="I43" s="36">
        <f t="shared" si="10"/>
        <v>1402662.4338345272</v>
      </c>
      <c r="J43" s="36">
        <f t="shared" si="8"/>
        <v>715952.04741547303</v>
      </c>
      <c r="K43" s="32">
        <f t="shared" si="11"/>
        <v>27032068.404306136</v>
      </c>
      <c r="L43" s="8"/>
      <c r="M43" s="35" t="str">
        <f t="shared" si="0"/>
        <v>20C3</v>
      </c>
      <c r="N43" s="247">
        <f t="shared" si="3"/>
        <v>1040954.6216435323</v>
      </c>
      <c r="O43" s="8"/>
      <c r="P43" s="35" t="str">
        <f t="shared" si="1"/>
        <v>20C3</v>
      </c>
      <c r="Q43" s="36">
        <f t="shared" si="9"/>
        <v>55231.26666666667</v>
      </c>
      <c r="R43" s="8"/>
    </row>
    <row r="44" spans="1:18" x14ac:dyDescent="0.25">
      <c r="A44">
        <v>20</v>
      </c>
      <c r="B44" s="239" t="str">
        <f>'Example 4 Assumptions Summary'!B54</f>
        <v>7/1/20C3</v>
      </c>
      <c r="C44" s="240">
        <f t="shared" si="2"/>
        <v>2612930</v>
      </c>
      <c r="D44" s="240">
        <f t="shared" si="4"/>
        <v>1855935.4610875263</v>
      </c>
      <c r="E44" s="240">
        <f t="shared" si="5"/>
        <v>756994.53891247371</v>
      </c>
      <c r="F44" s="240">
        <f t="shared" si="6"/>
        <v>25291222.458807193</v>
      </c>
      <c r="G44" s="11"/>
      <c r="H44" s="36">
        <f t="shared" si="7"/>
        <v>2118614.4812500002</v>
      </c>
      <c r="I44" s="36">
        <f t="shared" si="10"/>
        <v>1366471.0578376751</v>
      </c>
      <c r="J44" s="36">
        <f t="shared" si="8"/>
        <v>752143.42341232509</v>
      </c>
      <c r="K44" s="32">
        <f t="shared" si="11"/>
        <v>26279924.980893809</v>
      </c>
      <c r="L44" s="8"/>
      <c r="M44" s="35" t="str">
        <f t="shared" si="0"/>
        <v>20C4</v>
      </c>
      <c r="N44" s="247">
        <f t="shared" si="3"/>
        <v>1040954.6216435323</v>
      </c>
      <c r="O44" s="8"/>
      <c r="P44" s="35" t="str">
        <f t="shared" si="1"/>
        <v>20C4</v>
      </c>
      <c r="Q44" s="36">
        <f t="shared" si="9"/>
        <v>55231.26666666667</v>
      </c>
      <c r="R44" s="8"/>
    </row>
    <row r="45" spans="1:18" x14ac:dyDescent="0.25">
      <c r="A45">
        <v>21</v>
      </c>
      <c r="B45" s="239" t="str">
        <f>'Example 4 Assumptions Summary'!B55</f>
        <v>7/1/20C4</v>
      </c>
      <c r="C45" s="240">
        <f t="shared" si="2"/>
        <v>2612930</v>
      </c>
      <c r="D45" s="240">
        <f t="shared" si="4"/>
        <v>1801999.6001900123</v>
      </c>
      <c r="E45" s="240">
        <f t="shared" si="5"/>
        <v>810930.39980998775</v>
      </c>
      <c r="F45" s="240">
        <f t="shared" si="6"/>
        <v>24480292.058997206</v>
      </c>
      <c r="G45" s="11"/>
      <c r="H45" s="36">
        <f t="shared" si="7"/>
        <v>2118614.4812500002</v>
      </c>
      <c r="I45" s="36">
        <f t="shared" si="10"/>
        <v>1328450.2077841819</v>
      </c>
      <c r="J45" s="36">
        <f t="shared" si="8"/>
        <v>790164.27346581826</v>
      </c>
      <c r="K45" s="32">
        <f t="shared" si="11"/>
        <v>25489760.70742799</v>
      </c>
      <c r="L45" s="8"/>
      <c r="M45" s="35" t="str">
        <f t="shared" si="0"/>
        <v>20C5</v>
      </c>
      <c r="N45" s="247">
        <f t="shared" si="3"/>
        <v>1040954.6216435323</v>
      </c>
      <c r="O45" s="8"/>
      <c r="P45" s="35" t="str">
        <f t="shared" si="1"/>
        <v>20C5</v>
      </c>
      <c r="Q45" s="36">
        <f t="shared" si="9"/>
        <v>55231.26666666667</v>
      </c>
      <c r="R45" s="8"/>
    </row>
    <row r="46" spans="1:18" x14ac:dyDescent="0.25">
      <c r="A46">
        <v>22</v>
      </c>
      <c r="B46" s="239" t="str">
        <f>'Example 4 Assumptions Summary'!B56</f>
        <v>7/1/20C5</v>
      </c>
      <c r="C46" s="240">
        <f t="shared" si="2"/>
        <v>2612930</v>
      </c>
      <c r="D46" s="240">
        <f t="shared" si="4"/>
        <v>1744220.8092035509</v>
      </c>
      <c r="E46" s="240">
        <f t="shared" si="5"/>
        <v>868709.19079644908</v>
      </c>
      <c r="F46" s="240">
        <f t="shared" si="6"/>
        <v>23611582.868200757</v>
      </c>
      <c r="G46" s="11"/>
      <c r="H46" s="36">
        <f t="shared" si="7"/>
        <v>2118614.4812500002</v>
      </c>
      <c r="I46" s="36">
        <f t="shared" si="10"/>
        <v>1288507.4037604849</v>
      </c>
      <c r="J46" s="36">
        <f t="shared" si="8"/>
        <v>830107.0774895153</v>
      </c>
      <c r="K46" s="32">
        <f t="shared" si="11"/>
        <v>24659653.629938476</v>
      </c>
      <c r="L46" s="8"/>
      <c r="M46" s="35" t="str">
        <f t="shared" si="0"/>
        <v>20C6</v>
      </c>
      <c r="N46" s="247">
        <f t="shared" si="3"/>
        <v>1040954.6216435323</v>
      </c>
      <c r="O46" s="8"/>
      <c r="P46" s="35" t="str">
        <f t="shared" si="1"/>
        <v>20C6</v>
      </c>
      <c r="Q46" s="36">
        <f t="shared" si="9"/>
        <v>55231.26666666667</v>
      </c>
      <c r="R46" s="8"/>
    </row>
    <row r="47" spans="1:18" x14ac:dyDescent="0.25">
      <c r="A47">
        <v>23</v>
      </c>
      <c r="B47" s="239" t="str">
        <f>'Example 4 Assumptions Summary'!B57</f>
        <v>7/1/20C6</v>
      </c>
      <c r="C47" s="240">
        <f t="shared" si="2"/>
        <v>2612930</v>
      </c>
      <c r="D47" s="240">
        <f t="shared" si="4"/>
        <v>1682325.2793593039</v>
      </c>
      <c r="E47" s="240">
        <f t="shared" si="5"/>
        <v>930604.72064069612</v>
      </c>
      <c r="F47" s="240">
        <f t="shared" si="6"/>
        <v>22680978.14756006</v>
      </c>
      <c r="G47" s="11"/>
      <c r="H47" s="36">
        <f t="shared" si="7"/>
        <v>2118614.4812500002</v>
      </c>
      <c r="I47" s="36">
        <f t="shared" si="10"/>
        <v>1246545.4909933899</v>
      </c>
      <c r="J47" s="36">
        <f t="shared" si="8"/>
        <v>872068.99025661033</v>
      </c>
      <c r="K47" s="32">
        <f t="shared" si="11"/>
        <v>23787584.639681865</v>
      </c>
      <c r="L47" s="8"/>
      <c r="M47" s="35" t="str">
        <f t="shared" si="0"/>
        <v>20C7</v>
      </c>
      <c r="N47" s="247">
        <f t="shared" si="3"/>
        <v>1040954.6216435323</v>
      </c>
      <c r="O47" s="8"/>
      <c r="P47" s="35" t="str">
        <f t="shared" si="1"/>
        <v>20C7</v>
      </c>
      <c r="Q47" s="36">
        <f t="shared" si="9"/>
        <v>55231.26666666667</v>
      </c>
      <c r="R47" s="8"/>
    </row>
    <row r="48" spans="1:18" x14ac:dyDescent="0.25">
      <c r="A48">
        <v>24</v>
      </c>
      <c r="B48" s="239" t="str">
        <f>'Example 4 Assumptions Summary'!B58</f>
        <v>7/1/20C7</v>
      </c>
      <c r="C48" s="240">
        <f t="shared" si="2"/>
        <v>2612930</v>
      </c>
      <c r="D48" s="240">
        <f t="shared" si="4"/>
        <v>1616019.6930136541</v>
      </c>
      <c r="E48" s="240">
        <f t="shared" si="5"/>
        <v>996910.30698634591</v>
      </c>
      <c r="F48" s="240">
        <f t="shared" si="6"/>
        <v>21684067.840573713</v>
      </c>
      <c r="G48" s="11"/>
      <c r="H48" s="36">
        <f t="shared" si="7"/>
        <v>2118614.4812500002</v>
      </c>
      <c r="I48" s="36">
        <f t="shared" si="10"/>
        <v>1202462.4035359181</v>
      </c>
      <c r="J48" s="36">
        <f t="shared" si="8"/>
        <v>916152.07771408209</v>
      </c>
      <c r="K48" s="32">
        <f t="shared" si="11"/>
        <v>22871432.561967783</v>
      </c>
      <c r="L48" s="8"/>
      <c r="M48" s="35" t="str">
        <f t="shared" si="0"/>
        <v>20C8</v>
      </c>
      <c r="N48" s="247">
        <f t="shared" si="3"/>
        <v>1040954.6216435323</v>
      </c>
      <c r="O48" s="8"/>
      <c r="P48" s="35" t="str">
        <f t="shared" si="1"/>
        <v>20C8</v>
      </c>
      <c r="Q48" s="36">
        <f t="shared" si="9"/>
        <v>55231.26666666667</v>
      </c>
      <c r="R48" s="8"/>
    </row>
    <row r="49" spans="1:18" x14ac:dyDescent="0.25">
      <c r="A49">
        <v>25</v>
      </c>
      <c r="B49" s="239" t="str">
        <f>'Example 4 Assumptions Summary'!B59</f>
        <v>7/1/20C8</v>
      </c>
      <c r="C49" s="240">
        <f t="shared" si="2"/>
        <v>2612930</v>
      </c>
      <c r="D49" s="240">
        <f t="shared" si="4"/>
        <v>1544989.8336408769</v>
      </c>
      <c r="E49" s="240">
        <f t="shared" si="5"/>
        <v>1067940.1663591231</v>
      </c>
      <c r="F49" s="240">
        <f t="shared" si="6"/>
        <v>20616127.67421459</v>
      </c>
      <c r="G49" s="11"/>
      <c r="H49" s="36">
        <f t="shared" si="7"/>
        <v>2118614.4812500002</v>
      </c>
      <c r="I49" s="36">
        <f t="shared" si="10"/>
        <v>1156150.9160074713</v>
      </c>
      <c r="J49" s="36">
        <f t="shared" si="8"/>
        <v>962463.56524252892</v>
      </c>
      <c r="K49" s="32">
        <f t="shared" si="11"/>
        <v>21908968.996725254</v>
      </c>
      <c r="L49" s="8"/>
      <c r="M49" s="35" t="str">
        <f t="shared" si="0"/>
        <v>20C9</v>
      </c>
      <c r="N49" s="247">
        <f t="shared" si="3"/>
        <v>1040954.6216435323</v>
      </c>
      <c r="O49" s="8"/>
      <c r="P49" s="35" t="str">
        <f t="shared" si="1"/>
        <v>20C9</v>
      </c>
      <c r="Q49" s="36">
        <f t="shared" si="9"/>
        <v>55231.26666666667</v>
      </c>
      <c r="R49" s="8"/>
    </row>
    <row r="50" spans="1:18" x14ac:dyDescent="0.25">
      <c r="A50">
        <v>26</v>
      </c>
      <c r="B50" s="239" t="str">
        <f>'Example 4 Assumptions Summary'!B60</f>
        <v>7/1/20C9</v>
      </c>
      <c r="C50" s="240">
        <f t="shared" si="2"/>
        <v>2612930</v>
      </c>
      <c r="D50" s="240">
        <f t="shared" si="4"/>
        <v>1468899.0967877894</v>
      </c>
      <c r="E50" s="240">
        <f t="shared" si="5"/>
        <v>1144030.9032122106</v>
      </c>
      <c r="F50" s="240">
        <f t="shared" si="6"/>
        <v>19472096.771002378</v>
      </c>
      <c r="G50" s="11"/>
      <c r="H50" s="36">
        <f t="shared" si="7"/>
        <v>2118614.4812500002</v>
      </c>
      <c r="I50" s="36">
        <f t="shared" si="10"/>
        <v>1107498.3827844616</v>
      </c>
      <c r="J50" s="36">
        <f t="shared" si="8"/>
        <v>1011116.0984655386</v>
      </c>
      <c r="K50" s="32">
        <f t="shared" si="11"/>
        <v>20897852.898259714</v>
      </c>
      <c r="L50" s="8"/>
      <c r="M50" s="35" t="str">
        <f t="shared" si="0"/>
        <v>20D0</v>
      </c>
      <c r="N50" s="247">
        <f t="shared" si="3"/>
        <v>1040954.6216435323</v>
      </c>
      <c r="O50" s="8"/>
      <c r="P50" s="35" t="str">
        <f t="shared" si="1"/>
        <v>20D0</v>
      </c>
      <c r="Q50" s="36">
        <f t="shared" si="9"/>
        <v>55231.26666666667</v>
      </c>
      <c r="R50" s="8"/>
    </row>
    <row r="51" spans="1:18" x14ac:dyDescent="0.25">
      <c r="A51">
        <v>27</v>
      </c>
      <c r="B51" s="239" t="str">
        <f>'Example 4 Assumptions Summary'!B61</f>
        <v>7/1/20D0</v>
      </c>
      <c r="C51" s="240">
        <f t="shared" si="2"/>
        <v>2612930</v>
      </c>
      <c r="D51" s="240">
        <f t="shared" si="4"/>
        <v>1387386.8949339194</v>
      </c>
      <c r="E51" s="240">
        <f t="shared" si="5"/>
        <v>1225543.1050660806</v>
      </c>
      <c r="F51" s="240">
        <f t="shared" si="6"/>
        <v>18246553.665936299</v>
      </c>
      <c r="G51" s="11"/>
      <c r="H51" s="36">
        <f t="shared" si="7"/>
        <v>2118614.4812500002</v>
      </c>
      <c r="I51" s="36">
        <f t="shared" si="10"/>
        <v>1056386.4640070286</v>
      </c>
      <c r="J51" s="36">
        <f t="shared" si="8"/>
        <v>1062228.0172429716</v>
      </c>
      <c r="K51" s="32">
        <f t="shared" si="11"/>
        <v>19835624.881016742</v>
      </c>
      <c r="L51" s="8"/>
      <c r="M51" s="35" t="str">
        <f t="shared" si="0"/>
        <v>20D1</v>
      </c>
      <c r="N51" s="247">
        <f t="shared" si="3"/>
        <v>1040954.6216435323</v>
      </c>
      <c r="O51" s="8"/>
      <c r="P51" s="35" t="str">
        <f t="shared" si="1"/>
        <v>20D1</v>
      </c>
      <c r="Q51" s="36">
        <f t="shared" si="9"/>
        <v>55231.26666666667</v>
      </c>
      <c r="R51" s="8"/>
    </row>
    <row r="52" spans="1:18" x14ac:dyDescent="0.25">
      <c r="A52">
        <v>28</v>
      </c>
      <c r="B52" s="239" t="str">
        <f>'Example 4 Assumptions Summary'!B62</f>
        <v>7/1/20D1</v>
      </c>
      <c r="C52" s="240">
        <f t="shared" si="2"/>
        <v>2612930</v>
      </c>
      <c r="D52" s="240">
        <f t="shared" si="4"/>
        <v>1300066.9486979612</v>
      </c>
      <c r="E52" s="240">
        <f t="shared" si="5"/>
        <v>1312863.0513020388</v>
      </c>
      <c r="F52" s="240">
        <f t="shared" si="6"/>
        <v>16933690.614634261</v>
      </c>
      <c r="G52" s="11"/>
      <c r="H52" s="36">
        <f t="shared" si="7"/>
        <v>2118614.4812500002</v>
      </c>
      <c r="I52" s="36">
        <f t="shared" si="10"/>
        <v>1002690.8377353962</v>
      </c>
      <c r="J52" s="36">
        <f t="shared" si="8"/>
        <v>1115923.6435146038</v>
      </c>
      <c r="K52" s="32">
        <f t="shared" si="11"/>
        <v>18719701.237502139</v>
      </c>
      <c r="L52" s="8"/>
      <c r="M52" s="35" t="str">
        <f t="shared" si="0"/>
        <v>20D2</v>
      </c>
      <c r="N52" s="247">
        <f t="shared" si="3"/>
        <v>1040954.6216435323</v>
      </c>
      <c r="O52" s="8"/>
      <c r="P52" s="35" t="str">
        <f t="shared" si="1"/>
        <v>20D2</v>
      </c>
      <c r="Q52" s="36">
        <f t="shared" si="9"/>
        <v>55231.26666666667</v>
      </c>
      <c r="R52" s="8"/>
    </row>
    <row r="53" spans="1:18" x14ac:dyDescent="0.25">
      <c r="A53">
        <v>29</v>
      </c>
      <c r="B53" s="239" t="str">
        <f>'Example 4 Assumptions Summary'!B63</f>
        <v>7/1/20D2</v>
      </c>
      <c r="C53" s="240">
        <f t="shared" si="2"/>
        <v>2612930</v>
      </c>
      <c r="D53" s="240">
        <f t="shared" si="4"/>
        <v>1206525.4562926909</v>
      </c>
      <c r="E53" s="240">
        <f t="shared" si="5"/>
        <v>1406404.5437073091</v>
      </c>
      <c r="F53" s="240">
        <f t="shared" si="6"/>
        <v>15527286.070926951</v>
      </c>
      <c r="G53" s="11"/>
      <c r="H53" s="36">
        <f t="shared" si="7"/>
        <v>2118614.4812500002</v>
      </c>
      <c r="I53" s="36">
        <f t="shared" si="10"/>
        <v>946280.8975557331</v>
      </c>
      <c r="J53" s="36">
        <f t="shared" si="8"/>
        <v>1172333.5836942671</v>
      </c>
      <c r="K53" s="32">
        <f t="shared" si="11"/>
        <v>17547367.653807871</v>
      </c>
      <c r="L53" s="8"/>
      <c r="M53" s="35" t="str">
        <f t="shared" si="0"/>
        <v>20D3</v>
      </c>
      <c r="N53" s="247">
        <f t="shared" si="3"/>
        <v>1040954.6216435323</v>
      </c>
      <c r="O53" s="8"/>
      <c r="P53" s="35" t="str">
        <f t="shared" si="1"/>
        <v>20D3</v>
      </c>
      <c r="Q53" s="36">
        <f t="shared" si="9"/>
        <v>55231.26666666667</v>
      </c>
      <c r="R53" s="8"/>
    </row>
    <row r="54" spans="1:18" x14ac:dyDescent="0.25">
      <c r="A54">
        <v>30</v>
      </c>
      <c r="B54" s="239" t="str">
        <f>'Example 4 Assumptions Summary'!B64</f>
        <v>7/1/20D3</v>
      </c>
      <c r="C54" s="240">
        <f t="shared" si="2"/>
        <v>2612930</v>
      </c>
      <c r="D54" s="240">
        <f t="shared" si="4"/>
        <v>1106319.1325535453</v>
      </c>
      <c r="E54" s="240">
        <f t="shared" si="5"/>
        <v>1506610.8674464547</v>
      </c>
      <c r="F54" s="240">
        <f t="shared" si="6"/>
        <v>14020675.203480497</v>
      </c>
      <c r="G54" s="11"/>
      <c r="H54" s="36">
        <f t="shared" si="7"/>
        <v>2118614.4812500002</v>
      </c>
      <c r="I54" s="36">
        <f t="shared" si="10"/>
        <v>887019.43489998789</v>
      </c>
      <c r="J54" s="36">
        <f t="shared" si="8"/>
        <v>1231595.0463500123</v>
      </c>
      <c r="K54" s="32">
        <f t="shared" si="11"/>
        <v>16315772.607457859</v>
      </c>
      <c r="L54" s="8"/>
      <c r="M54" s="35" t="str">
        <f t="shared" si="0"/>
        <v>20D4</v>
      </c>
      <c r="N54" s="247">
        <f t="shared" si="3"/>
        <v>1040954.6216435323</v>
      </c>
      <c r="O54" s="8"/>
      <c r="P54" s="35" t="str">
        <f t="shared" si="1"/>
        <v>20D4</v>
      </c>
      <c r="Q54" s="36">
        <f t="shared" si="9"/>
        <v>55231.26666666667</v>
      </c>
      <c r="R54" s="8"/>
    </row>
    <row r="55" spans="1:18" x14ac:dyDescent="0.25">
      <c r="A55">
        <v>31</v>
      </c>
      <c r="B55" s="239" t="str">
        <f>'Example 4 Assumptions Summary'!B65</f>
        <v>7/1/20D4</v>
      </c>
      <c r="C55" s="240">
        <f t="shared" si="2"/>
        <v>2612930</v>
      </c>
      <c r="D55" s="240">
        <f t="shared" si="4"/>
        <v>998973.10824798536</v>
      </c>
      <c r="E55" s="240">
        <f t="shared" si="5"/>
        <v>1613956.8917520146</v>
      </c>
      <c r="F55" s="240">
        <f t="shared" si="6"/>
        <v>12406718.311728483</v>
      </c>
      <c r="G55" s="11"/>
      <c r="H55" s="36">
        <f t="shared" si="7"/>
        <v>2118614.4812500002</v>
      </c>
      <c r="I55" s="36">
        <f t="shared" si="10"/>
        <v>824762.30530699471</v>
      </c>
      <c r="J55" s="36">
        <f t="shared" si="8"/>
        <v>1293852.1759430054</v>
      </c>
      <c r="K55" s="32">
        <f t="shared" si="11"/>
        <v>15021920.431514854</v>
      </c>
      <c r="L55" s="8"/>
      <c r="M55" s="35" t="str">
        <f t="shared" si="0"/>
        <v>20D5</v>
      </c>
      <c r="N55" s="247">
        <f t="shared" si="3"/>
        <v>1040954.6216435323</v>
      </c>
      <c r="O55" s="8"/>
      <c r="P55" s="35" t="str">
        <f t="shared" si="1"/>
        <v>20D5</v>
      </c>
      <c r="Q55" s="36">
        <f t="shared" si="9"/>
        <v>55231.26666666667</v>
      </c>
      <c r="R55" s="8"/>
    </row>
    <row r="56" spans="1:18" x14ac:dyDescent="0.25">
      <c r="A56">
        <v>32</v>
      </c>
      <c r="B56" s="239" t="str">
        <f>'Example 4 Assumptions Summary'!B66</f>
        <v>7/1/20D5</v>
      </c>
      <c r="C56" s="240">
        <f t="shared" si="2"/>
        <v>2612930</v>
      </c>
      <c r="D56" s="240">
        <f t="shared" si="4"/>
        <v>883978.67971065431</v>
      </c>
      <c r="E56" s="240">
        <f t="shared" si="5"/>
        <v>1728951.3202893457</v>
      </c>
      <c r="F56" s="240">
        <f t="shared" si="6"/>
        <v>10677766.991439138</v>
      </c>
      <c r="G56" s="11"/>
      <c r="H56" s="36">
        <f t="shared" si="7"/>
        <v>2118614.4812500002</v>
      </c>
      <c r="I56" s="36">
        <f t="shared" si="10"/>
        <v>759358.07781307586</v>
      </c>
      <c r="J56" s="36">
        <f t="shared" si="8"/>
        <v>1359256.4034369243</v>
      </c>
      <c r="K56" s="32">
        <f t="shared" si="11"/>
        <v>13662664.02807793</v>
      </c>
      <c r="L56" s="8"/>
      <c r="M56" s="35" t="str">
        <f t="shared" si="0"/>
        <v>20D6</v>
      </c>
      <c r="N56" s="247">
        <f t="shared" si="3"/>
        <v>1040954.6216435323</v>
      </c>
      <c r="O56" s="8"/>
      <c r="P56" s="35" t="str">
        <f t="shared" si="1"/>
        <v>20D6</v>
      </c>
      <c r="Q56" s="36">
        <f t="shared" si="9"/>
        <v>55231.26666666667</v>
      </c>
      <c r="R56" s="8"/>
    </row>
    <row r="57" spans="1:18" x14ac:dyDescent="0.25">
      <c r="A57">
        <v>33</v>
      </c>
      <c r="B57" s="239" t="str">
        <f>'Example 4 Assumptions Summary'!B67</f>
        <v>7/1/20D6</v>
      </c>
      <c r="C57" s="240">
        <f t="shared" si="2"/>
        <v>2612930</v>
      </c>
      <c r="D57" s="240">
        <f t="shared" si="4"/>
        <v>760790.89814003848</v>
      </c>
      <c r="E57" s="240">
        <f t="shared" si="5"/>
        <v>1852139.1018599616</v>
      </c>
      <c r="F57" s="240">
        <f t="shared" si="6"/>
        <v>8825627.8895791769</v>
      </c>
      <c r="G57" s="11"/>
      <c r="H57" s="36">
        <f t="shared" si="7"/>
        <v>2118614.4812500002</v>
      </c>
      <c r="I57" s="36">
        <f t="shared" si="10"/>
        <v>690647.66661933938</v>
      </c>
      <c r="J57" s="36">
        <f t="shared" si="8"/>
        <v>1427966.8146306607</v>
      </c>
      <c r="K57" s="32">
        <f t="shared" si="11"/>
        <v>12234697.213447269</v>
      </c>
      <c r="L57" s="8"/>
      <c r="M57" s="35" t="str">
        <f t="shared" si="0"/>
        <v>20D7</v>
      </c>
      <c r="N57" s="247">
        <f t="shared" si="3"/>
        <v>1040954.6216435323</v>
      </c>
      <c r="O57" s="8"/>
      <c r="P57" s="35" t="str">
        <f t="shared" si="1"/>
        <v>20D7</v>
      </c>
      <c r="Q57" s="36">
        <f t="shared" si="9"/>
        <v>55231.26666666667</v>
      </c>
      <c r="R57" s="8"/>
    </row>
    <row r="58" spans="1:18" x14ac:dyDescent="0.25">
      <c r="A58">
        <v>34</v>
      </c>
      <c r="B58" s="239" t="str">
        <f>'Example 4 Assumptions Summary'!B68</f>
        <v>7/1/20D7</v>
      </c>
      <c r="C58" s="240">
        <f t="shared" si="2"/>
        <v>2612930</v>
      </c>
      <c r="D58" s="240">
        <f t="shared" si="4"/>
        <v>628825.98713251634</v>
      </c>
      <c r="E58" s="240">
        <f t="shared" si="5"/>
        <v>1984104.0128674838</v>
      </c>
      <c r="F58" s="240">
        <f t="shared" si="6"/>
        <v>6841523.8767116927</v>
      </c>
      <c r="G58" s="11"/>
      <c r="H58" s="36">
        <f t="shared" si="7"/>
        <v>2118614.4812500002</v>
      </c>
      <c r="I58" s="36">
        <f t="shared" si="10"/>
        <v>618463.94413975941</v>
      </c>
      <c r="J58" s="36">
        <f t="shared" si="8"/>
        <v>1500150.5371102407</v>
      </c>
      <c r="K58" s="32">
        <f t="shared" si="11"/>
        <v>10734546.676337028</v>
      </c>
      <c r="L58" s="8"/>
      <c r="M58" s="35" t="str">
        <f t="shared" si="0"/>
        <v>20D8</v>
      </c>
      <c r="N58" s="247">
        <f t="shared" si="3"/>
        <v>1040954.6216435323</v>
      </c>
      <c r="O58" s="8"/>
      <c r="P58" s="35" t="str">
        <f t="shared" si="1"/>
        <v>20D8</v>
      </c>
      <c r="Q58" s="36">
        <f t="shared" si="9"/>
        <v>55231.26666666667</v>
      </c>
      <c r="R58" s="8"/>
    </row>
    <row r="59" spans="1:18" x14ac:dyDescent="0.25">
      <c r="A59">
        <v>35</v>
      </c>
      <c r="B59" s="239" t="str">
        <f>'Example 4 Assumptions Summary'!B69</f>
        <v>7/1/20D8</v>
      </c>
      <c r="C59" s="240">
        <f t="shared" si="2"/>
        <v>2612930</v>
      </c>
      <c r="D59" s="240">
        <f t="shared" si="4"/>
        <v>487458.57621570805</v>
      </c>
      <c r="E59" s="240">
        <f t="shared" si="5"/>
        <v>2125471.4237842918</v>
      </c>
      <c r="F59" s="240">
        <f t="shared" si="6"/>
        <v>4716052.4529274013</v>
      </c>
      <c r="G59" s="11"/>
      <c r="H59" s="36">
        <f t="shared" si="7"/>
        <v>2118614.4812500002</v>
      </c>
      <c r="I59" s="36">
        <f t="shared" si="10"/>
        <v>542631.3344888367</v>
      </c>
      <c r="J59" s="36">
        <f t="shared" si="8"/>
        <v>1575983.1467611636</v>
      </c>
      <c r="K59" s="32">
        <f t="shared" si="11"/>
        <v>9158563.5295758639</v>
      </c>
      <c r="L59" s="8"/>
      <c r="M59" s="35" t="str">
        <f t="shared" si="0"/>
        <v>20D9</v>
      </c>
      <c r="N59" s="247">
        <f t="shared" si="3"/>
        <v>1040954.6216435323</v>
      </c>
      <c r="O59" s="8"/>
      <c r="P59" s="35" t="str">
        <f t="shared" si="1"/>
        <v>20D9</v>
      </c>
      <c r="Q59" s="36">
        <f t="shared" si="9"/>
        <v>55231.26666666667</v>
      </c>
      <c r="R59" s="8"/>
    </row>
    <row r="60" spans="1:18" x14ac:dyDescent="0.25">
      <c r="A60">
        <v>36</v>
      </c>
      <c r="B60" s="239" t="str">
        <f>'Example 4 Assumptions Summary'!B70</f>
        <v>7/1/20D9</v>
      </c>
      <c r="C60" s="240">
        <f t="shared" si="2"/>
        <v>2612930</v>
      </c>
      <c r="D60" s="240">
        <f t="shared" si="4"/>
        <v>336018.73727107729</v>
      </c>
      <c r="E60" s="240">
        <f t="shared" si="5"/>
        <v>2276911.2627289225</v>
      </c>
      <c r="F60" s="240">
        <f t="shared" si="6"/>
        <v>2439141.1901984788</v>
      </c>
      <c r="G60" s="11"/>
      <c r="H60" s="36">
        <f t="shared" si="7"/>
        <v>2118614.4812500002</v>
      </c>
      <c r="I60" s="36">
        <f t="shared" si="10"/>
        <v>462965.38642005989</v>
      </c>
      <c r="J60" s="36">
        <f t="shared" si="8"/>
        <v>1655649.0948299402</v>
      </c>
      <c r="K60" s="32">
        <f t="shared" si="11"/>
        <v>7502914.4347459236</v>
      </c>
      <c r="L60" s="8"/>
      <c r="M60" s="35" t="str">
        <f t="shared" si="0"/>
        <v>20E0</v>
      </c>
      <c r="N60" s="247">
        <f t="shared" si="3"/>
        <v>1040954.6216435323</v>
      </c>
      <c r="O60" s="8"/>
      <c r="P60" s="35" t="str">
        <f t="shared" si="1"/>
        <v>20E0</v>
      </c>
      <c r="Q60" s="36">
        <f t="shared" si="9"/>
        <v>55231.26666666667</v>
      </c>
      <c r="R60" s="8"/>
    </row>
    <row r="61" spans="1:18" x14ac:dyDescent="0.25">
      <c r="A61">
        <v>37</v>
      </c>
      <c r="B61" s="239" t="str">
        <f>'Example 4 Assumptions Summary'!B71</f>
        <v>7/1/20E0</v>
      </c>
      <c r="C61" s="240">
        <f t="shared" si="2"/>
        <v>2612930</v>
      </c>
      <c r="D61" s="240">
        <f t="shared" si="4"/>
        <v>173788.80980164159</v>
      </c>
      <c r="E61" s="240">
        <f t="shared" si="5"/>
        <v>2439141.1901983586</v>
      </c>
      <c r="F61" s="240">
        <f>ROUND(+F60-E61,0)</f>
        <v>0</v>
      </c>
      <c r="G61" s="11"/>
      <c r="H61" s="36">
        <f t="shared" si="7"/>
        <v>2118614.4812500002</v>
      </c>
      <c r="I61" s="36">
        <f t="shared" si="10"/>
        <v>379272.3246764064</v>
      </c>
      <c r="J61" s="36">
        <f t="shared" si="8"/>
        <v>1739342.1565735938</v>
      </c>
      <c r="K61" s="32">
        <f t="shared" si="11"/>
        <v>5763572.27817233</v>
      </c>
      <c r="L61" s="8"/>
      <c r="M61" s="248" t="s">
        <v>299</v>
      </c>
      <c r="N61" s="247">
        <f t="shared" si="3"/>
        <v>1040954.6216435323</v>
      </c>
      <c r="O61" s="8"/>
      <c r="P61" s="76"/>
      <c r="Q61" s="36"/>
      <c r="R61" s="8"/>
    </row>
    <row r="62" spans="1:18" x14ac:dyDescent="0.25">
      <c r="A62">
        <v>38</v>
      </c>
      <c r="B62" s="239" t="s">
        <v>376</v>
      </c>
      <c r="C62" s="240">
        <v>0</v>
      </c>
      <c r="D62" s="240">
        <f t="shared" si="4"/>
        <v>0</v>
      </c>
      <c r="E62" s="240">
        <f t="shared" si="5"/>
        <v>0</v>
      </c>
      <c r="F62" s="240">
        <f t="shared" ref="F62:F64" si="12">+F61-E62</f>
        <v>0</v>
      </c>
      <c r="G62" s="8"/>
      <c r="H62" s="36">
        <f t="shared" si="7"/>
        <v>2118614.4812500002</v>
      </c>
      <c r="I62" s="36">
        <f t="shared" si="10"/>
        <v>291348.57866161125</v>
      </c>
      <c r="J62" s="36">
        <f t="shared" si="8"/>
        <v>1827265.9025883889</v>
      </c>
      <c r="K62" s="32">
        <f t="shared" si="11"/>
        <v>3936306.3755839411</v>
      </c>
      <c r="L62" s="8"/>
      <c r="M62" s="35" t="str">
        <f t="shared" ref="M62" si="13">RIGHT(B63,4)</f>
        <v>20E2</v>
      </c>
      <c r="N62" s="247">
        <f t="shared" si="3"/>
        <v>1040954.6216435323</v>
      </c>
      <c r="O62" s="8"/>
      <c r="P62" s="76"/>
      <c r="Q62" s="36"/>
      <c r="R62" s="8"/>
    </row>
    <row r="63" spans="1:18" x14ac:dyDescent="0.25">
      <c r="A63">
        <v>39</v>
      </c>
      <c r="B63" s="239" t="s">
        <v>377</v>
      </c>
      <c r="C63" s="240">
        <v>0</v>
      </c>
      <c r="D63" s="240">
        <f t="shared" si="4"/>
        <v>0</v>
      </c>
      <c r="E63" s="240">
        <f t="shared" si="5"/>
        <v>0</v>
      </c>
      <c r="F63" s="240">
        <f t="shared" si="12"/>
        <v>0</v>
      </c>
      <c r="G63" s="8"/>
      <c r="H63" s="36">
        <f t="shared" si="7"/>
        <v>2118614.4812500002</v>
      </c>
      <c r="I63" s="36">
        <f t="shared" si="10"/>
        <v>198980.28728576822</v>
      </c>
      <c r="J63" s="36">
        <f t="shared" si="8"/>
        <v>1919634.193964232</v>
      </c>
      <c r="K63" s="32">
        <f t="shared" si="11"/>
        <v>2016672.1816197091</v>
      </c>
      <c r="L63" s="8"/>
      <c r="M63" s="248" t="s">
        <v>304</v>
      </c>
      <c r="N63" s="247">
        <f t="shared" si="3"/>
        <v>1040954.6216435323</v>
      </c>
      <c r="O63" s="8"/>
      <c r="P63" s="76"/>
      <c r="Q63" s="76"/>
      <c r="R63" s="8"/>
    </row>
    <row r="64" spans="1:18" x14ac:dyDescent="0.25">
      <c r="A64">
        <v>40</v>
      </c>
      <c r="B64" s="242" t="s">
        <v>378</v>
      </c>
      <c r="C64" s="243">
        <v>0</v>
      </c>
      <c r="D64" s="243">
        <f t="shared" si="4"/>
        <v>0</v>
      </c>
      <c r="E64" s="243">
        <f t="shared" si="5"/>
        <v>0</v>
      </c>
      <c r="F64" s="243">
        <f t="shared" si="12"/>
        <v>0</v>
      </c>
      <c r="G64" s="8"/>
      <c r="H64" s="38">
        <f>+$H$20</f>
        <v>2118614.4812500002</v>
      </c>
      <c r="I64" s="38">
        <f t="shared" si="10"/>
        <v>101942.7787808763</v>
      </c>
      <c r="J64" s="38">
        <f t="shared" si="8"/>
        <v>2016671.702469124</v>
      </c>
      <c r="K64" s="34">
        <f>ROUND(+K63-J64,0)</f>
        <v>0</v>
      </c>
      <c r="L64" s="8"/>
      <c r="M64" s="249"/>
      <c r="N64" s="38"/>
      <c r="O64" s="8"/>
      <c r="P64" s="253"/>
      <c r="Q64" s="253"/>
      <c r="R64" s="8"/>
    </row>
    <row r="65" spans="1:18" x14ac:dyDescent="0.25">
      <c r="A65">
        <v>41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N65" s="8"/>
      <c r="O65" s="8"/>
      <c r="P65" s="8"/>
      <c r="Q65" s="8"/>
      <c r="R65" s="8"/>
    </row>
    <row r="66" spans="1:18" x14ac:dyDescent="0.25">
      <c r="A66">
        <v>42</v>
      </c>
      <c r="B66" s="156"/>
      <c r="C66" s="8"/>
      <c r="D66" s="8"/>
      <c r="E66" s="8"/>
      <c r="F66" s="8"/>
      <c r="G66" s="8"/>
      <c r="H66" s="8"/>
      <c r="I66" s="8"/>
      <c r="J66" s="8"/>
      <c r="K66" s="8"/>
      <c r="L66" s="8"/>
      <c r="N66" s="8"/>
      <c r="O66" s="8"/>
      <c r="P66" s="8"/>
      <c r="Q66" s="8"/>
      <c r="R66" s="8"/>
    </row>
    <row r="67" spans="1:18" x14ac:dyDescent="0.25">
      <c r="A67">
        <v>43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N67" s="8"/>
      <c r="O67" s="8"/>
      <c r="P67" s="8"/>
      <c r="Q67" s="8"/>
      <c r="R67" s="8"/>
    </row>
    <row r="68" spans="1:18" x14ac:dyDescent="0.25">
      <c r="A68">
        <v>44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N68" s="8"/>
      <c r="O68" s="8"/>
      <c r="P68" s="8"/>
      <c r="Q68" s="8"/>
      <c r="R68" s="8"/>
    </row>
    <row r="69" spans="1:18" x14ac:dyDescent="0.25">
      <c r="A69">
        <v>45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N69" s="8"/>
      <c r="O69" s="8"/>
      <c r="P69" s="8"/>
      <c r="Q69" s="8"/>
      <c r="R69" s="8"/>
    </row>
    <row r="70" spans="1:18" x14ac:dyDescent="0.25">
      <c r="A70">
        <v>46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N70" s="8"/>
      <c r="O70" s="8"/>
      <c r="P70" s="8"/>
      <c r="Q70" s="8"/>
      <c r="R70" s="8"/>
    </row>
    <row r="71" spans="1:18" x14ac:dyDescent="0.25">
      <c r="A71">
        <v>47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N71" s="8"/>
      <c r="O71" s="8"/>
      <c r="P71" s="8"/>
      <c r="Q71" s="8"/>
      <c r="R71" s="8"/>
    </row>
    <row r="72" spans="1:18" x14ac:dyDescent="0.25">
      <c r="A72">
        <v>48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x14ac:dyDescent="0.25">
      <c r="A73">
        <v>49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x14ac:dyDescent="0.25">
      <c r="A74">
        <v>50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x14ac:dyDescent="0.2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x14ac:dyDescent="0.2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x14ac:dyDescent="0.2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x14ac:dyDescent="0.2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2:18" x14ac:dyDescent="0.2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2:18" x14ac:dyDescent="0.2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2:18" x14ac:dyDescent="0.2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2:18" x14ac:dyDescent="0.2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2:18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2:18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2:18" x14ac:dyDescent="0.2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2:18" x14ac:dyDescent="0.2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2:18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2:18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2:18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2:18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2:18" x14ac:dyDescent="0.2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2:18" x14ac:dyDescent="0.2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2:18" x14ac:dyDescent="0.2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2:18" x14ac:dyDescent="0.2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2:18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2:18" x14ac:dyDescent="0.2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2:18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2:18" x14ac:dyDescent="0.2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2:18" x14ac:dyDescent="0.2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2:18" x14ac:dyDescent="0.2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2:18" x14ac:dyDescent="0.2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2:18" x14ac:dyDescent="0.2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2:18" x14ac:dyDescent="0.2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2:18" x14ac:dyDescent="0.2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2:18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2:18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2:18" x14ac:dyDescent="0.2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2:18" x14ac:dyDescent="0.2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2:18" x14ac:dyDescent="0.2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2:18" x14ac:dyDescent="0.2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2:18" x14ac:dyDescent="0.2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2:18" x14ac:dyDescent="0.2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2:18" x14ac:dyDescent="0.2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2:18" x14ac:dyDescent="0.2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2:18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2:18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2:18" x14ac:dyDescent="0.2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</row>
    <row r="120" spans="2:18" x14ac:dyDescent="0.2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</row>
    <row r="121" spans="2:18" x14ac:dyDescent="0.2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</row>
    <row r="122" spans="2:18" x14ac:dyDescent="0.2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</row>
    <row r="123" spans="2:18" x14ac:dyDescent="0.2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2:18" x14ac:dyDescent="0.2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</row>
    <row r="125" spans="2:18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</row>
    <row r="126" spans="2:18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</row>
    <row r="127" spans="2:18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</row>
    <row r="128" spans="2:18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2:18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</row>
    <row r="130" spans="2:18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pans="2:18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</row>
    <row r="132" spans="2:18" x14ac:dyDescent="0.25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2:18" x14ac:dyDescent="0.25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2:18" x14ac:dyDescent="0.2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</row>
    <row r="135" spans="2:18" x14ac:dyDescent="0.2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2:18" x14ac:dyDescent="0.2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2:18" x14ac:dyDescent="0.2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2:18" x14ac:dyDescent="0.2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2:18" x14ac:dyDescent="0.25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2:18" x14ac:dyDescent="0.2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</row>
    <row r="141" spans="2:18" x14ac:dyDescent="0.2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</row>
    <row r="142" spans="2:18" x14ac:dyDescent="0.2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</row>
    <row r="143" spans="2:18" x14ac:dyDescent="0.2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</row>
    <row r="144" spans="2:18" x14ac:dyDescent="0.2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</row>
    <row r="145" spans="2:18" x14ac:dyDescent="0.2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</row>
    <row r="146" spans="2:18" x14ac:dyDescent="0.2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</row>
    <row r="147" spans="2:18" x14ac:dyDescent="0.2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</row>
    <row r="148" spans="2:18" x14ac:dyDescent="0.2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</row>
    <row r="149" spans="2:18" x14ac:dyDescent="0.2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</row>
    <row r="150" spans="2:18" x14ac:dyDescent="0.2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</row>
    <row r="151" spans="2:18" x14ac:dyDescent="0.2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</row>
    <row r="152" spans="2:18" x14ac:dyDescent="0.2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</row>
    <row r="153" spans="2:18" x14ac:dyDescent="0.25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</row>
    <row r="154" spans="2:18" x14ac:dyDescent="0.25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</row>
    <row r="155" spans="2:18" x14ac:dyDescent="0.2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</row>
    <row r="156" spans="2:18" x14ac:dyDescent="0.25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</row>
    <row r="157" spans="2:18" x14ac:dyDescent="0.25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</row>
    <row r="158" spans="2:18" x14ac:dyDescent="0.25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</row>
    <row r="159" spans="2:18" x14ac:dyDescent="0.25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</row>
    <row r="160" spans="2:18" x14ac:dyDescent="0.25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2:18" x14ac:dyDescent="0.25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</row>
    <row r="162" spans="2:18" x14ac:dyDescent="0.2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2:18" x14ac:dyDescent="0.2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2:18" x14ac:dyDescent="0.2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2:18" x14ac:dyDescent="0.2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2:18" x14ac:dyDescent="0.2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2:18" x14ac:dyDescent="0.2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2:18" x14ac:dyDescent="0.2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2:18" x14ac:dyDescent="0.2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2:18" x14ac:dyDescent="0.2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2:18" x14ac:dyDescent="0.2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2:18" x14ac:dyDescent="0.2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2:18" x14ac:dyDescent="0.2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2:18" x14ac:dyDescent="0.2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2:18" x14ac:dyDescent="0.2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</sheetData>
  <mergeCells count="15">
    <mergeCell ref="M18:N18"/>
    <mergeCell ref="P18:Q18"/>
    <mergeCell ref="H5:K5"/>
    <mergeCell ref="B16:F17"/>
    <mergeCell ref="H16:K17"/>
    <mergeCell ref="B18:B20"/>
    <mergeCell ref="C18:C19"/>
    <mergeCell ref="D18:D19"/>
    <mergeCell ref="E18:E19"/>
    <mergeCell ref="F18:F19"/>
    <mergeCell ref="H18:H19"/>
    <mergeCell ref="I18:I19"/>
    <mergeCell ref="J18:J20"/>
    <mergeCell ref="B5:E5"/>
    <mergeCell ref="M5:S5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9" defaultRowHeight="15.75" x14ac:dyDescent="0.25"/>
  <cols>
    <col min="1" max="1" width="12.140625" style="391" customWidth="1"/>
    <col min="2" max="2" width="5.42578125" style="388" customWidth="1"/>
    <col min="3" max="3" width="6.42578125" style="388" customWidth="1"/>
    <col min="4" max="4" width="42.140625" style="388" customWidth="1"/>
    <col min="5" max="6" width="13.7109375" style="388" bestFit="1" customWidth="1"/>
    <col min="7" max="7" width="4.85546875" style="389" customWidth="1"/>
    <col min="8" max="8" width="5.5703125" style="389" customWidth="1"/>
    <col min="9" max="9" width="45" style="389" customWidth="1"/>
    <col min="10" max="11" width="14.42578125" style="388" bestFit="1" customWidth="1"/>
    <col min="12" max="12" width="4.7109375" style="389" customWidth="1"/>
    <col min="13" max="13" width="5.5703125" style="389" customWidth="1"/>
    <col min="14" max="14" width="44.140625" style="389" customWidth="1"/>
    <col min="15" max="16" width="12.7109375" style="388" bestFit="1" customWidth="1"/>
    <col min="17" max="16384" width="9" style="389"/>
  </cols>
  <sheetData>
    <row r="1" spans="1:17" s="386" customFormat="1" ht="14.65" customHeight="1" x14ac:dyDescent="0.25">
      <c r="A1" s="732" t="s">
        <v>450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</row>
    <row r="2" spans="1:17" x14ac:dyDescent="0.25">
      <c r="A2" s="488" t="s">
        <v>447</v>
      </c>
      <c r="I2" s="390"/>
    </row>
    <row r="3" spans="1:17" x14ac:dyDescent="0.25">
      <c r="B3" s="392"/>
      <c r="C3" s="392"/>
      <c r="D3" s="392"/>
      <c r="E3" s="392"/>
      <c r="F3" s="392"/>
      <c r="G3" s="393"/>
      <c r="H3" s="393"/>
      <c r="I3" s="393"/>
      <c r="J3" s="392"/>
      <c r="K3" s="392"/>
      <c r="L3" s="393"/>
      <c r="M3" s="393"/>
      <c r="N3" s="393"/>
      <c r="O3" s="392"/>
      <c r="P3" s="392"/>
      <c r="Q3" s="393"/>
    </row>
    <row r="4" spans="1:17" ht="15.75" customHeight="1" x14ac:dyDescent="0.25">
      <c r="B4" s="394"/>
      <c r="C4" s="737" t="s">
        <v>19</v>
      </c>
      <c r="D4" s="738"/>
      <c r="E4" s="738"/>
      <c r="F4" s="739"/>
      <c r="G4" s="393"/>
      <c r="H4" s="737" t="s">
        <v>818</v>
      </c>
      <c r="I4" s="738"/>
      <c r="J4" s="738"/>
      <c r="K4" s="739"/>
      <c r="L4" s="393"/>
      <c r="M4" s="737" t="s">
        <v>20</v>
      </c>
      <c r="N4" s="738"/>
      <c r="O4" s="738"/>
      <c r="P4" s="739"/>
      <c r="Q4" s="393"/>
    </row>
    <row r="5" spans="1:17" x14ac:dyDescent="0.25">
      <c r="B5" s="395"/>
      <c r="C5" s="397"/>
      <c r="D5" s="397"/>
      <c r="E5" s="395" t="s">
        <v>0</v>
      </c>
      <c r="F5" s="395" t="s">
        <v>1</v>
      </c>
      <c r="G5" s="393"/>
      <c r="H5" s="397"/>
      <c r="I5" s="397"/>
      <c r="J5" s="395" t="s">
        <v>0</v>
      </c>
      <c r="K5" s="395" t="s">
        <v>1</v>
      </c>
      <c r="L5" s="393"/>
      <c r="M5" s="397"/>
      <c r="N5" s="397"/>
      <c r="O5" s="395" t="s">
        <v>0</v>
      </c>
      <c r="P5" s="395" t="s">
        <v>1</v>
      </c>
      <c r="Q5" s="393"/>
    </row>
    <row r="6" spans="1:17" x14ac:dyDescent="0.25">
      <c r="A6" s="398" t="s">
        <v>331</v>
      </c>
      <c r="B6" s="395"/>
      <c r="C6" s="395"/>
      <c r="D6" s="395"/>
      <c r="E6" s="395"/>
      <c r="F6" s="395"/>
      <c r="G6" s="393"/>
      <c r="H6" s="397"/>
      <c r="I6" s="397"/>
      <c r="J6" s="395"/>
      <c r="K6" s="395"/>
      <c r="L6" s="393"/>
      <c r="M6" s="397"/>
      <c r="N6" s="397"/>
      <c r="O6" s="395"/>
      <c r="P6" s="395"/>
      <c r="Q6" s="393"/>
    </row>
    <row r="7" spans="1:17" x14ac:dyDescent="0.25">
      <c r="A7" s="422" t="s">
        <v>250</v>
      </c>
      <c r="B7" s="395"/>
      <c r="C7" s="395"/>
      <c r="D7" s="389" t="s">
        <v>36</v>
      </c>
      <c r="E7" s="395"/>
      <c r="F7" s="395"/>
      <c r="G7" s="393"/>
      <c r="H7" s="397"/>
      <c r="I7" s="389" t="s">
        <v>36</v>
      </c>
      <c r="J7" s="395"/>
      <c r="K7" s="395"/>
      <c r="L7" s="393"/>
      <c r="M7" s="397"/>
      <c r="N7" s="389" t="s">
        <v>36</v>
      </c>
      <c r="O7" s="395"/>
      <c r="P7" s="395"/>
      <c r="Q7" s="393"/>
    </row>
    <row r="8" spans="1:17" x14ac:dyDescent="0.25">
      <c r="A8" s="422"/>
      <c r="B8" s="395"/>
      <c r="C8" s="395"/>
      <c r="D8" s="395"/>
      <c r="E8" s="395"/>
      <c r="F8" s="395"/>
      <c r="G8" s="393"/>
      <c r="H8" s="397"/>
      <c r="I8" s="397"/>
      <c r="J8" s="395"/>
      <c r="K8" s="395"/>
      <c r="L8" s="393"/>
      <c r="M8" s="397"/>
      <c r="N8" s="397"/>
      <c r="O8" s="395"/>
      <c r="P8" s="395"/>
      <c r="Q8" s="393"/>
    </row>
    <row r="9" spans="1:17" x14ac:dyDescent="0.25">
      <c r="A9" s="422"/>
      <c r="B9" s="395"/>
      <c r="C9" s="395"/>
      <c r="D9" s="395"/>
      <c r="E9" s="395"/>
      <c r="F9" s="395"/>
      <c r="G9" s="393"/>
      <c r="H9" s="397"/>
      <c r="I9" s="397"/>
      <c r="J9" s="395"/>
      <c r="K9" s="395"/>
      <c r="L9" s="393"/>
      <c r="M9" s="397"/>
      <c r="N9" s="397"/>
      <c r="O9" s="395"/>
      <c r="P9" s="395"/>
      <c r="Q9" s="393"/>
    </row>
    <row r="10" spans="1:17" x14ac:dyDescent="0.25">
      <c r="A10" s="422"/>
      <c r="B10" s="395"/>
      <c r="C10" s="395"/>
      <c r="D10" s="395"/>
      <c r="E10" s="395"/>
      <c r="F10" s="395"/>
      <c r="G10" s="393"/>
      <c r="H10" s="397"/>
      <c r="I10" s="397"/>
      <c r="J10" s="395"/>
      <c r="K10" s="395"/>
      <c r="L10" s="393"/>
      <c r="M10" s="397"/>
      <c r="N10" s="397"/>
      <c r="O10" s="395"/>
      <c r="P10" s="395"/>
      <c r="Q10" s="393"/>
    </row>
    <row r="11" spans="1:17" x14ac:dyDescent="0.25">
      <c r="B11" s="401"/>
      <c r="C11" s="401"/>
      <c r="D11" s="401"/>
      <c r="E11" s="401"/>
      <c r="F11" s="401"/>
      <c r="G11" s="393"/>
      <c r="H11" s="405"/>
      <c r="I11" s="404"/>
      <c r="J11" s="401"/>
      <c r="K11" s="401"/>
      <c r="L11" s="393"/>
      <c r="M11" s="405"/>
      <c r="N11" s="404"/>
      <c r="O11" s="401"/>
      <c r="P11" s="401"/>
      <c r="Q11" s="393"/>
    </row>
    <row r="12" spans="1:17" x14ac:dyDescent="0.25">
      <c r="B12" s="401"/>
      <c r="C12" s="401"/>
      <c r="D12" s="401"/>
      <c r="E12" s="401"/>
      <c r="F12" s="401"/>
      <c r="G12" s="393"/>
      <c r="H12" s="404"/>
      <c r="I12" s="404"/>
      <c r="J12" s="401"/>
      <c r="K12" s="401"/>
      <c r="L12" s="393"/>
      <c r="M12" s="404"/>
      <c r="N12" s="404"/>
      <c r="O12" s="401"/>
      <c r="P12" s="401"/>
      <c r="Q12" s="393"/>
    </row>
    <row r="13" spans="1:17" ht="14.25" customHeight="1" x14ac:dyDescent="0.25">
      <c r="A13" s="398" t="s">
        <v>332</v>
      </c>
      <c r="B13" s="389"/>
      <c r="C13" s="389"/>
      <c r="D13" s="389"/>
      <c r="E13" s="389"/>
      <c r="F13" s="389"/>
      <c r="J13" s="402"/>
      <c r="K13" s="402"/>
      <c r="O13" s="409"/>
      <c r="P13" s="402"/>
      <c r="Q13" s="393"/>
    </row>
    <row r="14" spans="1:17" ht="14.65" customHeight="1" x14ac:dyDescent="0.25">
      <c r="A14" s="485"/>
      <c r="B14" s="409"/>
      <c r="C14" s="405"/>
      <c r="D14" s="404"/>
      <c r="E14" s="409"/>
      <c r="F14" s="409"/>
      <c r="G14" s="393"/>
      <c r="L14" s="393"/>
      <c r="M14" s="405"/>
      <c r="O14" s="402"/>
      <c r="P14" s="402"/>
      <c r="Q14" s="393"/>
    </row>
    <row r="15" spans="1:17" ht="14.65" customHeight="1" x14ac:dyDescent="0.25">
      <c r="A15" s="485" t="s">
        <v>251</v>
      </c>
      <c r="B15" s="401"/>
      <c r="C15" s="389" t="s">
        <v>451</v>
      </c>
      <c r="D15" s="389"/>
      <c r="E15" s="409">
        <f>+'Ex. 4 Calcs-City'!E22</f>
        <v>2612930</v>
      </c>
      <c r="F15" s="409"/>
      <c r="G15" s="393"/>
      <c r="I15" s="389" t="s">
        <v>36</v>
      </c>
      <c r="J15" s="402"/>
      <c r="K15" s="402"/>
      <c r="L15" s="393"/>
      <c r="M15" s="424" t="str">
        <f>+C15</f>
        <v>Prepaid lease</v>
      </c>
      <c r="N15" s="402"/>
      <c r="O15" s="409">
        <f>E15</f>
        <v>2612930</v>
      </c>
      <c r="P15" s="409"/>
      <c r="Q15" s="393"/>
    </row>
    <row r="16" spans="1:17" ht="14.65" customHeight="1" x14ac:dyDescent="0.25">
      <c r="A16" s="485"/>
      <c r="B16" s="409"/>
      <c r="C16" s="424"/>
      <c r="D16" s="424" t="s">
        <v>2</v>
      </c>
      <c r="E16" s="409"/>
      <c r="F16" s="409">
        <f>+E15</f>
        <v>2612930</v>
      </c>
      <c r="G16" s="393"/>
      <c r="I16" s="402"/>
      <c r="J16" s="402"/>
      <c r="K16" s="402"/>
      <c r="L16" s="393"/>
      <c r="M16" s="424"/>
      <c r="N16" s="424" t="str">
        <f>D16</f>
        <v>Cash</v>
      </c>
      <c r="O16" s="409"/>
      <c r="P16" s="409">
        <f>F16</f>
        <v>2612930</v>
      </c>
      <c r="Q16" s="393"/>
    </row>
    <row r="17" spans="1:17" ht="14.65" customHeight="1" x14ac:dyDescent="0.25">
      <c r="A17" s="485"/>
      <c r="B17" s="409"/>
      <c r="C17" s="489" t="s">
        <v>794</v>
      </c>
      <c r="D17" s="424"/>
      <c r="E17" s="409"/>
      <c r="F17" s="409"/>
      <c r="G17" s="393"/>
      <c r="J17" s="402"/>
      <c r="K17" s="402"/>
      <c r="L17" s="393"/>
      <c r="M17" s="489" t="str">
        <f>$C$17</f>
        <v>[To record first annual payment to County of Example]</v>
      </c>
      <c r="N17" s="424"/>
      <c r="O17" s="409"/>
      <c r="P17" s="409"/>
      <c r="Q17" s="393"/>
    </row>
    <row r="18" spans="1:17" ht="14.65" customHeight="1" x14ac:dyDescent="0.25">
      <c r="A18" s="485"/>
      <c r="B18" s="409"/>
      <c r="C18" s="405"/>
      <c r="D18" s="404"/>
      <c r="E18" s="409"/>
      <c r="F18" s="409"/>
      <c r="G18" s="393"/>
      <c r="J18" s="402"/>
      <c r="K18" s="402"/>
      <c r="L18" s="393"/>
      <c r="M18" s="424"/>
      <c r="N18" s="424"/>
      <c r="O18" s="409"/>
      <c r="P18" s="409"/>
      <c r="Q18" s="393"/>
    </row>
    <row r="19" spans="1:17" ht="14.65" customHeight="1" x14ac:dyDescent="0.25">
      <c r="A19" s="485"/>
      <c r="B19" s="409"/>
      <c r="C19" s="405"/>
      <c r="D19" s="404"/>
      <c r="E19" s="409"/>
      <c r="F19" s="409"/>
      <c r="G19" s="393"/>
      <c r="J19" s="402"/>
      <c r="K19" s="402"/>
      <c r="L19" s="393"/>
      <c r="M19" s="424"/>
      <c r="N19" s="424"/>
      <c r="O19" s="409"/>
      <c r="P19" s="409"/>
      <c r="Q19" s="393"/>
    </row>
    <row r="20" spans="1:17" ht="14.25" customHeight="1" x14ac:dyDescent="0.25">
      <c r="A20" s="398" t="s">
        <v>356</v>
      </c>
      <c r="B20" s="389"/>
      <c r="C20" s="389"/>
      <c r="D20" s="389"/>
      <c r="E20" s="389"/>
      <c r="F20" s="389"/>
      <c r="J20" s="402"/>
      <c r="K20" s="402"/>
      <c r="O20" s="409"/>
      <c r="P20" s="402"/>
      <c r="Q20" s="393"/>
    </row>
    <row r="21" spans="1:17" ht="14.65" customHeight="1" x14ac:dyDescent="0.25">
      <c r="A21" s="485" t="s">
        <v>252</v>
      </c>
      <c r="B21" s="401"/>
      <c r="C21" s="389" t="str">
        <f>+C15</f>
        <v>Prepaid lease</v>
      </c>
      <c r="D21" s="389"/>
      <c r="E21" s="409">
        <f>+'Ex. 4 Calcs-City'!E23</f>
        <v>2612930</v>
      </c>
      <c r="F21" s="409"/>
      <c r="G21" s="393"/>
      <c r="I21" s="389" t="s">
        <v>36</v>
      </c>
      <c r="J21" s="402"/>
      <c r="K21" s="402"/>
      <c r="L21" s="393"/>
      <c r="M21" s="424" t="str">
        <f>C21</f>
        <v>Prepaid lease</v>
      </c>
      <c r="N21" s="402"/>
      <c r="O21" s="409">
        <f>E21</f>
        <v>2612930</v>
      </c>
      <c r="P21" s="409"/>
      <c r="Q21" s="393"/>
    </row>
    <row r="22" spans="1:17" ht="14.65" customHeight="1" x14ac:dyDescent="0.25">
      <c r="A22" s="485"/>
      <c r="B22" s="409"/>
      <c r="C22" s="424"/>
      <c r="D22" s="424" t="s">
        <v>2</v>
      </c>
      <c r="E22" s="409"/>
      <c r="F22" s="409">
        <f>+E21</f>
        <v>2612930</v>
      </c>
      <c r="G22" s="393"/>
      <c r="J22" s="402"/>
      <c r="K22" s="402"/>
      <c r="L22" s="393"/>
      <c r="M22" s="424"/>
      <c r="N22" s="424" t="str">
        <f>D22</f>
        <v>Cash</v>
      </c>
      <c r="O22" s="409"/>
      <c r="P22" s="409">
        <f>F22</f>
        <v>2612930</v>
      </c>
      <c r="Q22" s="393"/>
    </row>
    <row r="23" spans="1:17" ht="14.65" customHeight="1" x14ac:dyDescent="0.25">
      <c r="A23" s="485"/>
      <c r="B23" s="409"/>
      <c r="C23" s="489" t="s">
        <v>794</v>
      </c>
      <c r="D23" s="424"/>
      <c r="E23" s="409"/>
      <c r="F23" s="409"/>
      <c r="G23" s="393"/>
      <c r="J23" s="402"/>
      <c r="K23" s="402"/>
      <c r="L23" s="393"/>
      <c r="M23" s="489" t="str">
        <f>C23</f>
        <v>[To record first annual payment to County of Example]</v>
      </c>
      <c r="N23" s="424"/>
      <c r="O23" s="409"/>
      <c r="P23" s="409"/>
      <c r="Q23" s="393"/>
    </row>
    <row r="24" spans="1:17" ht="14.65" customHeight="1" x14ac:dyDescent="0.25">
      <c r="A24" s="485"/>
      <c r="B24" s="409"/>
      <c r="C24" s="405"/>
      <c r="D24" s="404"/>
      <c r="E24" s="409"/>
      <c r="F24" s="409"/>
      <c r="G24" s="393"/>
      <c r="J24" s="402"/>
      <c r="K24" s="402"/>
      <c r="L24" s="393"/>
      <c r="M24" s="489"/>
      <c r="N24" s="424"/>
      <c r="O24" s="409"/>
      <c r="P24" s="409"/>
      <c r="Q24" s="393"/>
    </row>
    <row r="25" spans="1:17" s="415" customFormat="1" ht="14.65" customHeight="1" x14ac:dyDescent="0.25">
      <c r="A25" s="485"/>
      <c r="B25" s="409"/>
      <c r="C25" s="409"/>
      <c r="D25" s="409"/>
      <c r="E25" s="409"/>
      <c r="F25" s="409"/>
      <c r="G25" s="393"/>
      <c r="H25" s="405"/>
      <c r="I25" s="404"/>
      <c r="J25" s="409"/>
      <c r="K25" s="409"/>
      <c r="L25" s="393"/>
      <c r="M25" s="404"/>
      <c r="N25" s="404"/>
      <c r="O25" s="409"/>
      <c r="P25" s="490"/>
      <c r="Q25" s="393"/>
    </row>
    <row r="26" spans="1:17" ht="14.25" customHeight="1" x14ac:dyDescent="0.25">
      <c r="A26" s="398" t="s">
        <v>369</v>
      </c>
      <c r="B26" s="389"/>
      <c r="C26" s="389"/>
      <c r="D26" s="389"/>
      <c r="E26" s="389"/>
      <c r="F26" s="389"/>
      <c r="J26" s="402"/>
      <c r="K26" s="402"/>
      <c r="O26" s="409"/>
      <c r="P26" s="402"/>
      <c r="Q26" s="393"/>
    </row>
    <row r="27" spans="1:17" ht="14.65" customHeight="1" x14ac:dyDescent="0.25">
      <c r="A27" s="491" t="s">
        <v>253</v>
      </c>
      <c r="B27" s="409"/>
      <c r="C27" s="404" t="s">
        <v>342</v>
      </c>
      <c r="D27" s="389"/>
      <c r="E27" s="409">
        <f>ROUND(+'Ex. 4 Calcs-City'!M8,0)</f>
        <v>41638185</v>
      </c>
      <c r="F27" s="409"/>
      <c r="G27" s="393"/>
      <c r="H27" s="389" t="s">
        <v>152</v>
      </c>
      <c r="J27" s="388">
        <f>+K29</f>
        <v>41638185</v>
      </c>
      <c r="L27" s="393"/>
      <c r="M27" s="404" t="str">
        <f>+H27</f>
        <v>Lease Asset</v>
      </c>
      <c r="O27" s="402">
        <f>+J27</f>
        <v>41638185</v>
      </c>
      <c r="P27" s="402"/>
      <c r="Q27" s="393"/>
    </row>
    <row r="28" spans="1:17" ht="14.65" customHeight="1" x14ac:dyDescent="0.25">
      <c r="A28" s="485"/>
      <c r="B28" s="409"/>
      <c r="C28" s="389"/>
      <c r="D28" s="389" t="s">
        <v>79</v>
      </c>
      <c r="E28" s="409"/>
      <c r="F28" s="409">
        <f>ROUND(+'Ex. 4 Calcs-City'!F20,0)</f>
        <v>33799395</v>
      </c>
      <c r="G28" s="393"/>
      <c r="H28" s="389" t="s">
        <v>452</v>
      </c>
      <c r="I28" s="404"/>
      <c r="J28" s="388">
        <f>+F28</f>
        <v>33799395</v>
      </c>
      <c r="L28" s="393"/>
      <c r="M28" s="405"/>
      <c r="N28" s="389" t="str">
        <f>+I30</f>
        <v>Lease liability</v>
      </c>
      <c r="O28" s="402"/>
      <c r="P28" s="402">
        <f>+K30</f>
        <v>33799395</v>
      </c>
      <c r="Q28" s="393"/>
    </row>
    <row r="29" spans="1:17" ht="14.65" customHeight="1" x14ac:dyDescent="0.25">
      <c r="A29" s="485"/>
      <c r="B29" s="409"/>
      <c r="C29" s="389"/>
      <c r="D29" s="389" t="str">
        <f>+C21</f>
        <v>Prepaid lease</v>
      </c>
      <c r="E29" s="389"/>
      <c r="F29" s="409">
        <f>ROUND(+E15+E21,0)</f>
        <v>5225860</v>
      </c>
      <c r="G29" s="393"/>
      <c r="I29" s="404" t="str">
        <f>+C27</f>
        <v>Capital outlay - general government</v>
      </c>
      <c r="K29" s="388">
        <f>+E27</f>
        <v>41638185</v>
      </c>
      <c r="L29" s="393"/>
      <c r="M29" s="405"/>
      <c r="N29" s="389" t="str">
        <f>+D29</f>
        <v>Prepaid lease</v>
      </c>
      <c r="O29" s="402"/>
      <c r="P29" s="402">
        <f>+F29</f>
        <v>5225860</v>
      </c>
      <c r="Q29" s="393"/>
    </row>
    <row r="30" spans="1:17" ht="14.65" customHeight="1" x14ac:dyDescent="0.25">
      <c r="A30" s="485"/>
      <c r="B30" s="409"/>
      <c r="C30" s="405"/>
      <c r="D30" s="389" t="s">
        <v>2</v>
      </c>
      <c r="E30" s="389"/>
      <c r="F30" s="409">
        <f>ROUND(+'Ex. 4 Calcs-City'!E24,0)</f>
        <v>2612930</v>
      </c>
      <c r="G30" s="393"/>
      <c r="H30" s="406"/>
      <c r="I30" s="389" t="s">
        <v>71</v>
      </c>
      <c r="K30" s="388">
        <f>+J28</f>
        <v>33799395</v>
      </c>
      <c r="L30" s="393"/>
      <c r="M30" s="405"/>
      <c r="N30" s="389" t="str">
        <f>+D30</f>
        <v>Cash</v>
      </c>
      <c r="O30" s="402"/>
      <c r="P30" s="402">
        <f>+F30</f>
        <v>2612930</v>
      </c>
      <c r="Q30" s="393"/>
    </row>
    <row r="31" spans="1:17" ht="14.65" customHeight="1" x14ac:dyDescent="0.25">
      <c r="A31" s="485"/>
      <c r="B31" s="409"/>
      <c r="C31" s="405" t="s">
        <v>796</v>
      </c>
      <c r="D31" s="389"/>
      <c r="E31" s="389"/>
      <c r="F31" s="389"/>
      <c r="G31" s="393"/>
      <c r="H31" s="406"/>
      <c r="I31" s="404"/>
      <c r="L31" s="393"/>
      <c r="M31" s="405" t="str">
        <f>C31</f>
        <v>[To record inception of office building lease and first</v>
      </c>
      <c r="O31" s="402"/>
      <c r="P31" s="402"/>
      <c r="Q31" s="393"/>
    </row>
    <row r="32" spans="1:17" ht="14.65" customHeight="1" x14ac:dyDescent="0.25">
      <c r="A32" s="485"/>
      <c r="B32" s="409"/>
      <c r="C32" s="405" t="s">
        <v>795</v>
      </c>
      <c r="D32" s="389"/>
      <c r="E32" s="389"/>
      <c r="F32" s="409"/>
      <c r="G32" s="393"/>
      <c r="H32" s="406"/>
      <c r="L32" s="393"/>
      <c r="M32" s="405" t="str">
        <f>C32</f>
        <v>annual payment]</v>
      </c>
      <c r="O32" s="402"/>
      <c r="P32" s="402"/>
      <c r="Q32" s="393"/>
    </row>
    <row r="33" spans="1:17" s="418" customFormat="1" ht="14.25" customHeight="1" x14ac:dyDescent="0.25">
      <c r="A33" s="491"/>
      <c r="B33" s="409"/>
      <c r="C33" s="405"/>
      <c r="D33" s="404"/>
      <c r="E33" s="409"/>
      <c r="F33" s="409"/>
      <c r="G33" s="393"/>
      <c r="J33" s="492"/>
      <c r="K33" s="492"/>
      <c r="L33" s="393"/>
      <c r="M33" s="405"/>
      <c r="O33" s="419"/>
      <c r="P33" s="419"/>
      <c r="Q33" s="393"/>
    </row>
    <row r="34" spans="1:17" ht="14.65" customHeight="1" x14ac:dyDescent="0.25">
      <c r="A34" s="485"/>
      <c r="B34" s="409"/>
      <c r="C34" s="405"/>
      <c r="D34" s="404"/>
      <c r="E34" s="409"/>
      <c r="F34" s="409"/>
      <c r="G34" s="393"/>
      <c r="L34" s="393"/>
      <c r="M34" s="405"/>
      <c r="O34" s="402"/>
      <c r="P34" s="402"/>
      <c r="Q34" s="393"/>
    </row>
    <row r="35" spans="1:17" ht="14.65" customHeight="1" x14ac:dyDescent="0.25">
      <c r="A35" s="485" t="s">
        <v>371</v>
      </c>
      <c r="B35" s="401"/>
      <c r="C35" s="493"/>
      <c r="D35" s="389" t="s">
        <v>36</v>
      </c>
      <c r="E35" s="409"/>
      <c r="F35" s="409"/>
      <c r="G35" s="393"/>
      <c r="H35" s="389" t="s">
        <v>632</v>
      </c>
      <c r="J35" s="388">
        <f>ROUND(+'Ex. 4 Calcs-City'!N24,0)</f>
        <v>1040955</v>
      </c>
      <c r="L35" s="393"/>
      <c r="M35" s="404" t="str">
        <f t="shared" ref="M35:P37" si="0">H35</f>
        <v>Amortization expense</v>
      </c>
      <c r="O35" s="402">
        <f t="shared" si="0"/>
        <v>1040955</v>
      </c>
      <c r="P35" s="402"/>
      <c r="Q35" s="393"/>
    </row>
    <row r="36" spans="1:17" ht="14.65" customHeight="1" x14ac:dyDescent="0.25">
      <c r="A36" s="485"/>
      <c r="B36" s="409"/>
      <c r="C36" s="493"/>
      <c r="D36" s="484"/>
      <c r="E36" s="409"/>
      <c r="F36" s="409"/>
      <c r="G36" s="393"/>
      <c r="I36" s="389" t="s">
        <v>630</v>
      </c>
      <c r="K36" s="388">
        <f>+J35</f>
        <v>1040955</v>
      </c>
      <c r="L36" s="393"/>
      <c r="N36" s="404" t="str">
        <f t="shared" si="0"/>
        <v>Accumulated amortization - lease asset</v>
      </c>
      <c r="O36" s="402"/>
      <c r="P36" s="402">
        <f t="shared" si="0"/>
        <v>1040955</v>
      </c>
      <c r="Q36" s="393"/>
    </row>
    <row r="37" spans="1:17" ht="14.65" customHeight="1" x14ac:dyDescent="0.25">
      <c r="A37" s="485"/>
      <c r="B37" s="409"/>
      <c r="C37" s="397"/>
      <c r="D37" s="389"/>
      <c r="E37" s="409"/>
      <c r="F37" s="409"/>
      <c r="G37" s="393"/>
      <c r="H37" s="405" t="s">
        <v>652</v>
      </c>
      <c r="L37" s="393"/>
      <c r="M37" s="404" t="str">
        <f t="shared" si="0"/>
        <v>[To record amortization of lease asset]</v>
      </c>
      <c r="O37" s="402"/>
      <c r="P37" s="402"/>
      <c r="Q37" s="393"/>
    </row>
    <row r="38" spans="1:17" ht="14.25" customHeight="1" x14ac:dyDescent="0.25">
      <c r="A38" s="485"/>
      <c r="B38" s="409"/>
      <c r="C38" s="405"/>
      <c r="D38" s="404"/>
      <c r="E38" s="409"/>
      <c r="F38" s="409"/>
      <c r="G38" s="393"/>
      <c r="H38" s="405"/>
      <c r="L38" s="393"/>
      <c r="M38" s="405"/>
      <c r="O38" s="402"/>
      <c r="P38" s="402"/>
      <c r="Q38" s="393"/>
    </row>
    <row r="39" spans="1:17" s="415" customFormat="1" ht="14.65" customHeight="1" x14ac:dyDescent="0.25">
      <c r="A39" s="485"/>
      <c r="B39" s="409"/>
      <c r="C39" s="409"/>
      <c r="D39" s="409"/>
      <c r="E39" s="409"/>
      <c r="F39" s="409"/>
      <c r="G39" s="393"/>
      <c r="H39" s="405"/>
      <c r="I39" s="404"/>
      <c r="J39" s="409"/>
      <c r="K39" s="409"/>
      <c r="L39" s="393"/>
      <c r="M39" s="404"/>
      <c r="N39" s="404"/>
      <c r="O39" s="409"/>
      <c r="P39" s="409"/>
      <c r="Q39" s="393"/>
    </row>
    <row r="40" spans="1:17" s="415" customFormat="1" ht="14.65" customHeight="1" x14ac:dyDescent="0.25">
      <c r="A40" s="485" t="s">
        <v>383</v>
      </c>
      <c r="B40" s="409"/>
      <c r="C40" s="409"/>
      <c r="D40" s="389" t="s">
        <v>36</v>
      </c>
      <c r="E40" s="409"/>
      <c r="F40" s="409"/>
      <c r="G40" s="393"/>
      <c r="H40" s="415" t="s">
        <v>3</v>
      </c>
      <c r="J40" s="409">
        <f>ROUND(+'Ex. 4 Calcs-City'!D25,0)</f>
        <v>2408207</v>
      </c>
      <c r="K40" s="490"/>
      <c r="M40" s="415" t="str">
        <f t="shared" ref="M40:P42" si="1">H40</f>
        <v>Interest expense</v>
      </c>
      <c r="O40" s="409">
        <f t="shared" si="1"/>
        <v>2408207</v>
      </c>
      <c r="P40" s="409"/>
      <c r="Q40" s="393"/>
    </row>
    <row r="41" spans="1:17" s="415" customFormat="1" ht="14.65" customHeight="1" x14ac:dyDescent="0.25">
      <c r="A41" s="485"/>
      <c r="B41" s="409"/>
      <c r="C41" s="409"/>
      <c r="D41" s="409"/>
      <c r="E41" s="409"/>
      <c r="F41" s="409"/>
      <c r="G41" s="393"/>
      <c r="I41" s="389" t="s">
        <v>28</v>
      </c>
      <c r="J41" s="490"/>
      <c r="K41" s="490">
        <f>+J40</f>
        <v>2408207</v>
      </c>
      <c r="N41" s="415" t="str">
        <f t="shared" si="1"/>
        <v>Interest payable</v>
      </c>
      <c r="O41" s="409"/>
      <c r="P41" s="409">
        <f t="shared" si="1"/>
        <v>2408207</v>
      </c>
      <c r="Q41" s="393"/>
    </row>
    <row r="42" spans="1:17" s="415" customFormat="1" ht="14.65" customHeight="1" x14ac:dyDescent="0.25">
      <c r="A42" s="485"/>
      <c r="B42" s="409"/>
      <c r="C42" s="409"/>
      <c r="D42" s="409"/>
      <c r="E42" s="409"/>
      <c r="F42" s="409"/>
      <c r="G42" s="393"/>
      <c r="H42" s="494" t="s">
        <v>437</v>
      </c>
      <c r="J42" s="490"/>
      <c r="K42" s="490"/>
      <c r="M42" s="494" t="str">
        <f t="shared" si="1"/>
        <v>[To record accrual of lease interest receivable at FYE]</v>
      </c>
      <c r="O42" s="409"/>
      <c r="P42" s="409"/>
      <c r="Q42" s="393"/>
    </row>
    <row r="43" spans="1:17" s="415" customFormat="1" ht="14.65" customHeight="1" x14ac:dyDescent="0.25">
      <c r="A43" s="485"/>
      <c r="B43" s="409"/>
      <c r="C43" s="409"/>
      <c r="D43" s="409"/>
      <c r="E43" s="409"/>
      <c r="F43" s="409"/>
      <c r="G43" s="393"/>
      <c r="H43" s="405"/>
      <c r="I43" s="404"/>
      <c r="J43" s="409"/>
      <c r="K43" s="409"/>
      <c r="L43" s="393"/>
      <c r="M43" s="404"/>
      <c r="N43" s="404"/>
      <c r="O43" s="409"/>
      <c r="P43" s="490"/>
      <c r="Q43" s="393"/>
    </row>
    <row r="44" spans="1:17" s="415" customFormat="1" ht="14.65" customHeight="1" x14ac:dyDescent="0.25">
      <c r="A44" s="485"/>
      <c r="B44" s="409"/>
      <c r="C44" s="409"/>
      <c r="D44" s="409"/>
      <c r="E44" s="409"/>
      <c r="F44" s="409"/>
      <c r="G44" s="393"/>
      <c r="H44" s="405"/>
      <c r="I44" s="404"/>
      <c r="J44" s="409"/>
      <c r="K44" s="409"/>
      <c r="L44" s="393"/>
      <c r="M44" s="404"/>
      <c r="N44" s="404"/>
      <c r="O44" s="409"/>
      <c r="P44" s="490"/>
      <c r="Q44" s="393"/>
    </row>
    <row r="45" spans="1:17" s="415" customFormat="1" ht="14.65" customHeight="1" x14ac:dyDescent="0.25">
      <c r="A45" s="485"/>
      <c r="B45" s="409"/>
      <c r="C45" s="409"/>
      <c r="D45" s="409"/>
      <c r="E45" s="409"/>
      <c r="F45" s="409"/>
      <c r="G45" s="393"/>
      <c r="H45" s="405"/>
      <c r="I45" s="404"/>
      <c r="J45" s="409"/>
      <c r="K45" s="409"/>
      <c r="L45" s="393"/>
      <c r="M45" s="404"/>
      <c r="N45" s="404"/>
      <c r="O45" s="409"/>
      <c r="P45" s="490"/>
      <c r="Q45" s="393"/>
    </row>
    <row r="46" spans="1:17" s="415" customFormat="1" ht="14.65" customHeight="1" x14ac:dyDescent="0.25">
      <c r="A46" s="485"/>
      <c r="B46" s="409"/>
      <c r="C46" s="409"/>
      <c r="D46" s="409"/>
      <c r="E46" s="409"/>
      <c r="F46" s="409"/>
      <c r="G46" s="393"/>
      <c r="H46" s="405"/>
      <c r="I46" s="404"/>
      <c r="J46" s="409"/>
      <c r="K46" s="409"/>
      <c r="L46" s="393"/>
      <c r="M46" s="404"/>
      <c r="N46" s="404"/>
      <c r="O46" s="409"/>
      <c r="P46" s="490"/>
      <c r="Q46" s="393"/>
    </row>
    <row r="47" spans="1:17" ht="14.25" customHeight="1" x14ac:dyDescent="0.25">
      <c r="A47" s="398" t="s">
        <v>387</v>
      </c>
      <c r="B47" s="389"/>
      <c r="C47" s="389"/>
      <c r="D47" s="389"/>
      <c r="E47" s="409"/>
      <c r="F47" s="389"/>
      <c r="J47" s="402"/>
      <c r="K47" s="402"/>
      <c r="O47" s="409"/>
      <c r="P47" s="402"/>
      <c r="Q47" s="393"/>
    </row>
    <row r="48" spans="1:17" ht="14.65" customHeight="1" x14ac:dyDescent="0.25">
      <c r="A48" s="485" t="s">
        <v>254</v>
      </c>
      <c r="B48" s="401"/>
      <c r="C48" s="493" t="s">
        <v>797</v>
      </c>
      <c r="D48" s="484"/>
      <c r="E48" s="409">
        <f>ROUND('Ex. 4 Calcs-City'!E25,0)</f>
        <v>204723</v>
      </c>
      <c r="F48" s="409"/>
      <c r="G48" s="393"/>
      <c r="H48" s="389" t="s">
        <v>71</v>
      </c>
      <c r="J48" s="388">
        <f>+K50</f>
        <v>204723</v>
      </c>
      <c r="L48" s="393"/>
      <c r="M48" s="404" t="str">
        <f>+H48</f>
        <v>Lease liability</v>
      </c>
      <c r="O48" s="402">
        <f>+J48</f>
        <v>204723</v>
      </c>
      <c r="P48" s="402"/>
      <c r="Q48" s="393"/>
    </row>
    <row r="49" spans="1:17" ht="14.65" customHeight="1" x14ac:dyDescent="0.25">
      <c r="A49" s="485"/>
      <c r="B49" s="409"/>
      <c r="C49" s="493" t="s">
        <v>453</v>
      </c>
      <c r="D49" s="484"/>
      <c r="E49" s="409">
        <f>ROUND(+'Ex. 4 Calcs-City'!D25,0)</f>
        <v>2408207</v>
      </c>
      <c r="F49" s="409"/>
      <c r="G49" s="393"/>
      <c r="H49" s="389" t="s">
        <v>28</v>
      </c>
      <c r="J49" s="388">
        <f>+K51</f>
        <v>2408207</v>
      </c>
      <c r="L49" s="393"/>
      <c r="M49" s="404" t="str">
        <f>+H49</f>
        <v>Interest payable</v>
      </c>
      <c r="O49" s="402">
        <f>+J49</f>
        <v>2408207</v>
      </c>
      <c r="P49" s="402"/>
      <c r="Q49" s="393"/>
    </row>
    <row r="50" spans="1:17" ht="14.65" customHeight="1" x14ac:dyDescent="0.25">
      <c r="A50" s="485"/>
      <c r="B50" s="409"/>
      <c r="C50" s="397"/>
      <c r="D50" s="389" t="s">
        <v>2</v>
      </c>
      <c r="E50" s="409"/>
      <c r="F50" s="409">
        <f>ROUND(+'Ex. 4 Calcs-City'!C25,0)</f>
        <v>2612930</v>
      </c>
      <c r="G50" s="393"/>
      <c r="I50" s="389" t="str">
        <f>+C48</f>
        <v>Debt service - lease principal (gen long-term debt)</v>
      </c>
      <c r="K50" s="388">
        <f>+E48</f>
        <v>204723</v>
      </c>
      <c r="L50" s="393"/>
      <c r="M50" s="404"/>
      <c r="N50" s="389" t="str">
        <f>+D50</f>
        <v>Cash</v>
      </c>
      <c r="O50" s="402"/>
      <c r="P50" s="402">
        <f>+F50</f>
        <v>2612930</v>
      </c>
      <c r="Q50" s="393"/>
    </row>
    <row r="51" spans="1:17" ht="14.25" customHeight="1" x14ac:dyDescent="0.25">
      <c r="A51" s="485"/>
      <c r="B51" s="409"/>
      <c r="C51" s="405" t="s">
        <v>454</v>
      </c>
      <c r="D51" s="404"/>
      <c r="E51" s="409"/>
      <c r="F51" s="409"/>
      <c r="G51" s="393"/>
      <c r="I51" s="389" t="str">
        <f>+C49</f>
        <v xml:space="preserve">Debt service - lease Interest </v>
      </c>
      <c r="K51" s="388">
        <f>+E49</f>
        <v>2408207</v>
      </c>
      <c r="L51" s="393"/>
      <c r="M51" s="405" t="str">
        <f>$C$51</f>
        <v>[To record annual lease payment made]</v>
      </c>
      <c r="O51" s="402"/>
      <c r="P51" s="402"/>
      <c r="Q51" s="393"/>
    </row>
    <row r="52" spans="1:17" ht="14.65" customHeight="1" x14ac:dyDescent="0.25">
      <c r="A52" s="485"/>
      <c r="B52" s="409"/>
      <c r="C52" s="405"/>
      <c r="D52" s="404"/>
      <c r="E52" s="409"/>
      <c r="F52" s="409"/>
      <c r="G52" s="393"/>
      <c r="L52" s="393"/>
      <c r="M52" s="405"/>
      <c r="O52" s="402"/>
      <c r="P52" s="402"/>
      <c r="Q52" s="393"/>
    </row>
    <row r="53" spans="1:17" ht="14.65" customHeight="1" x14ac:dyDescent="0.25">
      <c r="A53" s="485"/>
      <c r="B53" s="409"/>
      <c r="C53" s="405"/>
      <c r="D53" s="404"/>
      <c r="E53" s="409"/>
      <c r="F53" s="409"/>
      <c r="G53" s="393"/>
      <c r="L53" s="393"/>
      <c r="M53" s="405"/>
      <c r="O53" s="402"/>
      <c r="P53" s="402"/>
      <c r="Q53" s="393"/>
    </row>
    <row r="54" spans="1:17" ht="14.65" customHeight="1" x14ac:dyDescent="0.25">
      <c r="A54" s="485" t="s">
        <v>389</v>
      </c>
      <c r="B54" s="401"/>
      <c r="C54" s="404"/>
      <c r="D54" s="389" t="s">
        <v>36</v>
      </c>
      <c r="E54" s="409"/>
      <c r="F54" s="409"/>
      <c r="G54" s="393"/>
      <c r="H54" s="389" t="s">
        <v>632</v>
      </c>
      <c r="J54" s="388">
        <f>ROUND(+'Ex. 4 Calcs-City'!N25,0)</f>
        <v>1040955</v>
      </c>
      <c r="L54" s="393"/>
      <c r="M54" s="404" t="str">
        <f t="shared" ref="M54" si="2">H54</f>
        <v>Amortization expense</v>
      </c>
      <c r="O54" s="402">
        <f t="shared" ref="O54" si="3">J54</f>
        <v>1040955</v>
      </c>
      <c r="P54" s="402"/>
      <c r="Q54" s="393"/>
    </row>
    <row r="55" spans="1:17" ht="14.65" customHeight="1" x14ac:dyDescent="0.25">
      <c r="A55" s="485"/>
      <c r="B55" s="409"/>
      <c r="C55" s="405"/>
      <c r="D55" s="404"/>
      <c r="E55" s="409"/>
      <c r="F55" s="409"/>
      <c r="G55" s="393"/>
      <c r="I55" s="389" t="str">
        <f>$I$36</f>
        <v>Accumulated amortization - lease asset</v>
      </c>
      <c r="K55" s="388">
        <f>+J54</f>
        <v>1040955</v>
      </c>
      <c r="L55" s="393"/>
      <c r="N55" s="404" t="str">
        <f t="shared" ref="N55" si="4">I55</f>
        <v>Accumulated amortization - lease asset</v>
      </c>
      <c r="O55" s="402"/>
      <c r="P55" s="402">
        <f t="shared" ref="P55" si="5">K55</f>
        <v>1040955</v>
      </c>
      <c r="Q55" s="393"/>
    </row>
    <row r="56" spans="1:17" ht="14.65" customHeight="1" x14ac:dyDescent="0.25">
      <c r="A56" s="485"/>
      <c r="B56" s="409"/>
      <c r="C56" s="405"/>
      <c r="D56" s="404"/>
      <c r="E56" s="409"/>
      <c r="F56" s="409"/>
      <c r="G56" s="393"/>
      <c r="H56" s="405" t="s">
        <v>72</v>
      </c>
      <c r="L56" s="393"/>
      <c r="M56" s="404" t="str">
        <f t="shared" ref="M56:M57" si="6">H56</f>
        <v>[To record amortization of lease asset and recognize</v>
      </c>
      <c r="O56" s="402"/>
      <c r="P56" s="402"/>
      <c r="Q56" s="393"/>
    </row>
    <row r="57" spans="1:17" ht="14.65" customHeight="1" x14ac:dyDescent="0.25">
      <c r="A57" s="485"/>
      <c r="B57" s="409"/>
      <c r="C57" s="405"/>
      <c r="D57" s="404"/>
      <c r="E57" s="409"/>
      <c r="F57" s="409"/>
      <c r="G57" s="393"/>
      <c r="H57" s="405" t="s">
        <v>74</v>
      </c>
      <c r="L57" s="393"/>
      <c r="M57" s="405" t="str">
        <f t="shared" si="6"/>
        <v>rental expense]</v>
      </c>
      <c r="O57" s="402"/>
      <c r="P57" s="402"/>
      <c r="Q57" s="393"/>
    </row>
    <row r="58" spans="1:17" ht="14.65" customHeight="1" x14ac:dyDescent="0.25">
      <c r="A58" s="485"/>
      <c r="B58" s="409"/>
      <c r="C58" s="405"/>
      <c r="D58" s="404"/>
      <c r="E58" s="409"/>
      <c r="F58" s="409"/>
      <c r="G58" s="393"/>
      <c r="L58" s="393"/>
      <c r="M58" s="405"/>
      <c r="O58" s="402"/>
      <c r="P58" s="402"/>
      <c r="Q58" s="393"/>
    </row>
    <row r="59" spans="1:17" ht="14.65" customHeight="1" x14ac:dyDescent="0.25">
      <c r="A59" s="485"/>
      <c r="B59" s="409"/>
      <c r="C59" s="409"/>
      <c r="D59" s="409"/>
      <c r="E59" s="409"/>
      <c r="F59" s="409"/>
      <c r="G59" s="393"/>
      <c r="L59" s="393"/>
      <c r="M59" s="406"/>
      <c r="O59" s="402"/>
      <c r="P59" s="402"/>
      <c r="Q59" s="393"/>
    </row>
    <row r="60" spans="1:17" x14ac:dyDescent="0.25">
      <c r="A60" s="391" t="s">
        <v>390</v>
      </c>
      <c r="B60" s="401"/>
      <c r="C60" s="401"/>
      <c r="D60" s="389" t="s">
        <v>36</v>
      </c>
      <c r="E60" s="401"/>
      <c r="F60" s="401"/>
      <c r="G60" s="393"/>
      <c r="H60" s="404" t="str">
        <f>+H40</f>
        <v>Interest expense</v>
      </c>
      <c r="I60" s="404"/>
      <c r="J60" s="401">
        <f>ROUND(+'Ex. 4 Calcs-City'!D26,0)</f>
        <v>2393620</v>
      </c>
      <c r="K60" s="401"/>
      <c r="L60" s="393"/>
      <c r="M60" s="404" t="str">
        <f t="shared" ref="M60" si="7">H60</f>
        <v>Interest expense</v>
      </c>
      <c r="N60" s="404"/>
      <c r="O60" s="401">
        <f>J60</f>
        <v>2393620</v>
      </c>
      <c r="P60" s="401"/>
      <c r="Q60" s="401"/>
    </row>
    <row r="61" spans="1:17" s="415" customFormat="1" ht="14.25" customHeight="1" x14ac:dyDescent="0.25">
      <c r="A61" s="485"/>
      <c r="B61" s="409"/>
      <c r="C61" s="409"/>
      <c r="D61" s="409"/>
      <c r="E61" s="409"/>
      <c r="F61" s="409"/>
      <c r="G61" s="393"/>
      <c r="H61" s="405"/>
      <c r="I61" s="404" t="s">
        <v>28</v>
      </c>
      <c r="J61" s="401"/>
      <c r="K61" s="401">
        <f>+J60</f>
        <v>2393620</v>
      </c>
      <c r="L61" s="393"/>
      <c r="M61" s="404"/>
      <c r="N61" s="404" t="str">
        <f t="shared" ref="N61" si="8">I61</f>
        <v>Interest payable</v>
      </c>
      <c r="O61" s="401"/>
      <c r="P61" s="401">
        <f>K61</f>
        <v>2393620</v>
      </c>
      <c r="Q61" s="393"/>
    </row>
    <row r="62" spans="1:17" s="415" customFormat="1" ht="14.25" customHeight="1" x14ac:dyDescent="0.25">
      <c r="A62" s="485"/>
      <c r="B62" s="409"/>
      <c r="C62" s="409"/>
      <c r="D62" s="409"/>
      <c r="E62" s="409"/>
      <c r="F62" s="409"/>
      <c r="G62" s="393"/>
      <c r="H62" s="405" t="s">
        <v>835</v>
      </c>
      <c r="I62" s="405"/>
      <c r="J62" s="409"/>
      <c r="K62" s="409"/>
      <c r="L62" s="393"/>
      <c r="M62" s="484" t="str">
        <f t="shared" ref="M62" si="9">H62</f>
        <v>[To record accrual of lease interest payable]</v>
      </c>
      <c r="N62" s="405"/>
      <c r="O62" s="409"/>
      <c r="P62" s="490"/>
      <c r="Q62" s="393"/>
    </row>
    <row r="63" spans="1:17" s="415" customFormat="1" ht="14.25" customHeight="1" x14ac:dyDescent="0.25">
      <c r="A63" s="485"/>
      <c r="B63" s="409"/>
      <c r="C63" s="409"/>
      <c r="D63" s="409"/>
      <c r="E63" s="409"/>
      <c r="F63" s="409"/>
      <c r="G63" s="393"/>
      <c r="H63" s="405"/>
      <c r="I63" s="405"/>
      <c r="J63" s="409"/>
      <c r="K63" s="409"/>
      <c r="L63" s="393"/>
      <c r="M63" s="484"/>
      <c r="N63" s="405"/>
      <c r="O63" s="409"/>
      <c r="P63" s="490"/>
      <c r="Q63" s="393"/>
    </row>
    <row r="64" spans="1:17" s="415" customFormat="1" ht="14.65" customHeight="1" x14ac:dyDescent="0.25">
      <c r="A64" s="485"/>
      <c r="B64" s="409"/>
      <c r="C64" s="409"/>
      <c r="D64" s="409"/>
      <c r="E64" s="409"/>
      <c r="F64" s="409"/>
      <c r="G64" s="393"/>
      <c r="H64" s="405"/>
      <c r="I64" s="404"/>
      <c r="J64" s="409"/>
      <c r="K64" s="409"/>
      <c r="L64" s="393"/>
      <c r="M64" s="404"/>
      <c r="N64" s="404"/>
      <c r="O64" s="409"/>
      <c r="P64" s="490"/>
      <c r="Q64" s="393"/>
    </row>
    <row r="65" spans="1:17" s="415" customFormat="1" ht="14.65" customHeight="1" thickBot="1" x14ac:dyDescent="0.3">
      <c r="A65" s="485"/>
      <c r="B65" s="409"/>
      <c r="C65" s="409"/>
      <c r="D65" s="409"/>
      <c r="E65" s="409"/>
      <c r="F65" s="409"/>
      <c r="G65" s="393"/>
      <c r="H65" s="405"/>
      <c r="I65" s="404"/>
      <c r="J65" s="409"/>
      <c r="K65" s="409"/>
      <c r="L65" s="393"/>
      <c r="M65" s="404"/>
      <c r="N65" s="404"/>
      <c r="O65" s="409"/>
      <c r="P65" s="490"/>
      <c r="Q65" s="393"/>
    </row>
    <row r="66" spans="1:17" s="415" customFormat="1" ht="14.65" customHeight="1" thickBot="1" x14ac:dyDescent="0.3">
      <c r="A66" s="495"/>
      <c r="B66" s="409"/>
      <c r="C66" s="496" t="s">
        <v>834</v>
      </c>
      <c r="D66" s="413"/>
      <c r="E66" s="413"/>
      <c r="F66" s="414"/>
      <c r="G66" s="393"/>
      <c r="H66" s="496" t="s">
        <v>834</v>
      </c>
      <c r="I66" s="413"/>
      <c r="J66" s="413"/>
      <c r="K66" s="414"/>
      <c r="L66" s="393"/>
      <c r="M66" s="496" t="s">
        <v>834</v>
      </c>
      <c r="N66" s="413"/>
      <c r="O66" s="413"/>
      <c r="P66" s="414"/>
      <c r="Q66" s="393"/>
    </row>
    <row r="67" spans="1:17" s="415" customFormat="1" ht="14.65" customHeight="1" x14ac:dyDescent="0.25">
      <c r="A67" s="485"/>
      <c r="B67" s="409"/>
      <c r="C67" s="409"/>
      <c r="D67" s="409"/>
      <c r="E67" s="409"/>
      <c r="F67" s="409"/>
      <c r="G67" s="393"/>
      <c r="J67" s="445"/>
      <c r="K67" s="445"/>
      <c r="L67" s="393"/>
      <c r="M67" s="404"/>
      <c r="O67" s="490"/>
      <c r="P67" s="490"/>
      <c r="Q67" s="393"/>
    </row>
    <row r="68" spans="1:17" ht="14.25" customHeight="1" x14ac:dyDescent="0.25">
      <c r="A68" s="398" t="s">
        <v>416</v>
      </c>
      <c r="B68" s="389"/>
      <c r="C68" s="389"/>
      <c r="D68" s="389"/>
      <c r="E68" s="389"/>
      <c r="F68" s="389"/>
      <c r="J68" s="402"/>
      <c r="K68" s="402"/>
      <c r="O68" s="409"/>
      <c r="P68" s="402"/>
      <c r="Q68" s="393"/>
    </row>
    <row r="69" spans="1:17" ht="14.25" customHeight="1" x14ac:dyDescent="0.25">
      <c r="A69" s="485" t="s">
        <v>417</v>
      </c>
      <c r="B69" s="389"/>
      <c r="C69" s="493" t="s">
        <v>797</v>
      </c>
      <c r="D69" s="484"/>
      <c r="E69" s="409">
        <f>'Ex. 4 Calcs-City'!E31</f>
        <v>309394.00359716453</v>
      </c>
      <c r="F69" s="409"/>
      <c r="G69" s="393"/>
      <c r="H69" s="389" t="s">
        <v>71</v>
      </c>
      <c r="J69" s="388">
        <f>+K71</f>
        <v>309394.00359716453</v>
      </c>
      <c r="L69" s="393"/>
      <c r="M69" s="404" t="str">
        <f>+H69</f>
        <v>Lease liability</v>
      </c>
      <c r="O69" s="402">
        <f>+J69</f>
        <v>309394.00359716453</v>
      </c>
      <c r="P69" s="402"/>
      <c r="Q69" s="393"/>
    </row>
    <row r="70" spans="1:17" ht="14.25" customHeight="1" x14ac:dyDescent="0.25">
      <c r="A70" s="422"/>
      <c r="B70" s="389"/>
      <c r="C70" s="493" t="s">
        <v>453</v>
      </c>
      <c r="D70" s="484"/>
      <c r="E70" s="409">
        <f>+'Ex. 4 Calcs-City'!D31</f>
        <v>2303535.9964028355</v>
      </c>
      <c r="F70" s="409"/>
      <c r="G70" s="393"/>
      <c r="H70" s="389" t="s">
        <v>28</v>
      </c>
      <c r="J70" s="388">
        <f>+K72</f>
        <v>2303535.9964028355</v>
      </c>
      <c r="L70" s="393"/>
      <c r="M70" s="404" t="str">
        <f>+H70</f>
        <v>Interest payable</v>
      </c>
      <c r="O70" s="402">
        <f>+J70</f>
        <v>2303535.9964028355</v>
      </c>
      <c r="P70" s="402"/>
      <c r="Q70" s="393"/>
    </row>
    <row r="71" spans="1:17" ht="14.25" customHeight="1" x14ac:dyDescent="0.25">
      <c r="A71" s="422"/>
      <c r="B71" s="389"/>
      <c r="C71" s="397"/>
      <c r="D71" s="389" t="s">
        <v>2</v>
      </c>
      <c r="E71" s="409"/>
      <c r="F71" s="409">
        <f>+'Ex. 4 Calcs-City'!C32</f>
        <v>2612930</v>
      </c>
      <c r="G71" s="393"/>
      <c r="I71" s="389" t="str">
        <f>+C69</f>
        <v>Debt service - lease principal (gen long-term debt)</v>
      </c>
      <c r="K71" s="388">
        <f>+E69</f>
        <v>309394.00359716453</v>
      </c>
      <c r="L71" s="393"/>
      <c r="M71" s="404"/>
      <c r="N71" s="389" t="str">
        <f>+D71</f>
        <v>Cash</v>
      </c>
      <c r="O71" s="402"/>
      <c r="P71" s="402">
        <f>+F71</f>
        <v>2612930</v>
      </c>
      <c r="Q71" s="393"/>
    </row>
    <row r="72" spans="1:17" ht="14.25" customHeight="1" x14ac:dyDescent="0.25">
      <c r="A72" s="422"/>
      <c r="B72" s="389"/>
      <c r="C72" s="405" t="s">
        <v>454</v>
      </c>
      <c r="D72" s="404"/>
      <c r="E72" s="409"/>
      <c r="F72" s="409"/>
      <c r="G72" s="393"/>
      <c r="I72" s="389" t="str">
        <f>+C70</f>
        <v xml:space="preserve">Debt service - lease Interest </v>
      </c>
      <c r="K72" s="388">
        <f>+E70</f>
        <v>2303535.9964028355</v>
      </c>
      <c r="L72" s="393"/>
      <c r="M72" s="405" t="str">
        <f>$C$51</f>
        <v>[To record annual lease payment made]</v>
      </c>
      <c r="O72" s="402"/>
      <c r="P72" s="402"/>
      <c r="Q72" s="393"/>
    </row>
    <row r="73" spans="1:17" ht="14.25" customHeight="1" x14ac:dyDescent="0.25">
      <c r="A73" s="422"/>
      <c r="B73" s="389"/>
      <c r="C73" s="389"/>
      <c r="D73" s="389"/>
      <c r="E73" s="389"/>
      <c r="F73" s="389"/>
      <c r="J73" s="402"/>
      <c r="K73" s="402"/>
      <c r="O73" s="409"/>
      <c r="P73" s="402"/>
      <c r="Q73" s="393"/>
    </row>
    <row r="74" spans="1:17" ht="14.25" customHeight="1" x14ac:dyDescent="0.25">
      <c r="A74" s="422"/>
      <c r="B74" s="389"/>
      <c r="C74" s="389"/>
      <c r="D74" s="389"/>
      <c r="E74" s="389"/>
      <c r="F74" s="389"/>
      <c r="J74" s="389"/>
      <c r="K74" s="389"/>
      <c r="O74" s="389"/>
      <c r="P74" s="389"/>
      <c r="Q74" s="393"/>
    </row>
    <row r="75" spans="1:17" ht="14.25" customHeight="1" x14ac:dyDescent="0.25">
      <c r="A75" s="422" t="s">
        <v>419</v>
      </c>
      <c r="B75" s="389"/>
      <c r="C75" s="389"/>
      <c r="D75" s="389" t="s">
        <v>36</v>
      </c>
      <c r="E75" s="389"/>
      <c r="F75" s="389"/>
      <c r="H75" s="389" t="s">
        <v>853</v>
      </c>
      <c r="J75" s="497">
        <f>+K76</f>
        <v>1656938.1353940368</v>
      </c>
      <c r="K75" s="389"/>
      <c r="L75" s="497"/>
      <c r="M75" s="497" t="str">
        <f>H75</f>
        <v>Deferred outflow of resources - lease modification</v>
      </c>
      <c r="N75" s="409"/>
      <c r="O75" s="402">
        <f>J75</f>
        <v>1656938.1353940368</v>
      </c>
      <c r="P75" s="402"/>
      <c r="Q75" s="393"/>
    </row>
    <row r="76" spans="1:17" ht="14.25" customHeight="1" x14ac:dyDescent="0.25">
      <c r="A76" s="422"/>
      <c r="B76" s="389"/>
      <c r="C76" s="389"/>
      <c r="D76" s="389"/>
      <c r="E76" s="389"/>
      <c r="F76" s="389"/>
      <c r="I76" s="497" t="s">
        <v>71</v>
      </c>
      <c r="J76" s="389"/>
      <c r="K76" s="497">
        <f>+'Ex. 4 Calcs-City'!H12</f>
        <v>1656938.1353940368</v>
      </c>
      <c r="N76" s="497" t="str">
        <f>I76</f>
        <v>Lease liability</v>
      </c>
      <c r="O76" s="389"/>
      <c r="P76" s="409">
        <f>K76</f>
        <v>1656938.1353940368</v>
      </c>
      <c r="Q76" s="393"/>
    </row>
    <row r="77" spans="1:17" ht="14.25" customHeight="1" x14ac:dyDescent="0.25">
      <c r="A77" s="422"/>
      <c r="B77" s="389"/>
      <c r="C77" s="389"/>
      <c r="D77" s="389"/>
      <c r="E77" s="389"/>
      <c r="F77" s="389"/>
      <c r="H77" s="405" t="s">
        <v>798</v>
      </c>
      <c r="J77" s="389"/>
      <c r="K77" s="389"/>
      <c r="M77" s="686" t="str">
        <f t="shared" ref="M77" si="10">H77</f>
        <v>[To record lease modification]</v>
      </c>
      <c r="N77" s="497"/>
      <c r="O77" s="409"/>
      <c r="P77" s="402"/>
      <c r="Q77" s="393"/>
    </row>
    <row r="78" spans="1:17" ht="14.25" customHeight="1" x14ac:dyDescent="0.25">
      <c r="A78" s="422"/>
      <c r="B78" s="389"/>
      <c r="C78" s="389"/>
      <c r="D78" s="389"/>
      <c r="E78" s="389"/>
      <c r="F78" s="389"/>
      <c r="J78" s="402"/>
      <c r="K78" s="402"/>
      <c r="O78" s="409"/>
      <c r="P78" s="402"/>
      <c r="Q78" s="393"/>
    </row>
    <row r="79" spans="1:17" ht="14.25" customHeight="1" x14ac:dyDescent="0.25">
      <c r="A79" s="422"/>
      <c r="B79" s="389"/>
      <c r="C79" s="389"/>
      <c r="D79" s="389"/>
      <c r="E79" s="389"/>
      <c r="F79" s="389"/>
      <c r="J79" s="402"/>
      <c r="K79" s="402"/>
      <c r="O79" s="409"/>
      <c r="P79" s="402"/>
      <c r="Q79" s="393"/>
    </row>
    <row r="80" spans="1:17" ht="14.65" customHeight="1" x14ac:dyDescent="0.25">
      <c r="A80" s="485" t="s">
        <v>421</v>
      </c>
      <c r="B80" s="401"/>
      <c r="C80" s="404"/>
      <c r="D80" s="389" t="s">
        <v>36</v>
      </c>
      <c r="E80" s="409"/>
      <c r="F80" s="409"/>
      <c r="G80" s="393"/>
      <c r="H80" s="389" t="s">
        <v>632</v>
      </c>
      <c r="J80" s="388">
        <f>ROUND(+'Ex. 4 Calcs-City'!N31,0)</f>
        <v>1040955</v>
      </c>
      <c r="L80" s="393"/>
      <c r="M80" s="404" t="str">
        <f t="shared" ref="M80" si="11">H80</f>
        <v>Amortization expense</v>
      </c>
      <c r="O80" s="402">
        <f t="shared" ref="O80" si="12">J80</f>
        <v>1040955</v>
      </c>
      <c r="P80" s="402"/>
      <c r="Q80" s="393"/>
    </row>
    <row r="81" spans="1:17" ht="14.65" customHeight="1" x14ac:dyDescent="0.25">
      <c r="A81" s="485"/>
      <c r="B81" s="409"/>
      <c r="C81" s="405"/>
      <c r="D81" s="404"/>
      <c r="E81" s="409"/>
      <c r="F81" s="409"/>
      <c r="G81" s="393"/>
      <c r="I81" s="389" t="str">
        <f>$I$36</f>
        <v>Accumulated amortization - lease asset</v>
      </c>
      <c r="K81" s="388">
        <f>+J80</f>
        <v>1040955</v>
      </c>
      <c r="L81" s="393"/>
      <c r="N81" s="404" t="str">
        <f t="shared" ref="N81" si="13">I81</f>
        <v>Accumulated amortization - lease asset</v>
      </c>
      <c r="O81" s="402"/>
      <c r="P81" s="402">
        <f t="shared" ref="P81" si="14">K81</f>
        <v>1040955</v>
      </c>
      <c r="Q81" s="393"/>
    </row>
    <row r="82" spans="1:17" ht="14.65" customHeight="1" x14ac:dyDescent="0.25">
      <c r="A82" s="485"/>
      <c r="B82" s="409"/>
      <c r="C82" s="405"/>
      <c r="D82" s="404"/>
      <c r="E82" s="409"/>
      <c r="F82" s="409"/>
      <c r="G82" s="393"/>
      <c r="H82" s="405" t="s">
        <v>72</v>
      </c>
      <c r="L82" s="393"/>
      <c r="M82" s="404" t="str">
        <f t="shared" ref="M82:M83" si="15">H82</f>
        <v>[To record amortization of lease asset and recognize</v>
      </c>
      <c r="O82" s="402"/>
      <c r="P82" s="402"/>
      <c r="Q82" s="393"/>
    </row>
    <row r="83" spans="1:17" ht="14.65" customHeight="1" x14ac:dyDescent="0.25">
      <c r="A83" s="485"/>
      <c r="B83" s="409"/>
      <c r="C83" s="405"/>
      <c r="D83" s="404"/>
      <c r="E83" s="409"/>
      <c r="F83" s="409"/>
      <c r="G83" s="393"/>
      <c r="H83" s="405" t="s">
        <v>74</v>
      </c>
      <c r="L83" s="393"/>
      <c r="M83" s="405" t="str">
        <f t="shared" si="15"/>
        <v>rental expense]</v>
      </c>
      <c r="O83" s="402"/>
      <c r="P83" s="402"/>
      <c r="Q83" s="393"/>
    </row>
    <row r="84" spans="1:17" ht="14.65" customHeight="1" x14ac:dyDescent="0.25">
      <c r="A84" s="485"/>
      <c r="B84" s="409"/>
      <c r="C84" s="405"/>
      <c r="D84" s="404"/>
      <c r="E84" s="409"/>
      <c r="F84" s="409"/>
      <c r="G84" s="393"/>
      <c r="H84" s="405"/>
      <c r="L84" s="393"/>
      <c r="M84" s="405"/>
      <c r="O84" s="402"/>
      <c r="P84" s="402"/>
      <c r="Q84" s="393"/>
    </row>
    <row r="85" spans="1:17" ht="14.65" customHeight="1" x14ac:dyDescent="0.25">
      <c r="A85" s="485"/>
      <c r="B85" s="409"/>
      <c r="C85" s="405"/>
      <c r="D85" s="404"/>
      <c r="E85" s="409"/>
      <c r="F85" s="409"/>
      <c r="G85" s="393"/>
      <c r="H85" s="405"/>
      <c r="L85" s="393"/>
      <c r="M85" s="405"/>
      <c r="O85" s="402"/>
      <c r="P85" s="402"/>
      <c r="Q85" s="393"/>
    </row>
    <row r="86" spans="1:17" ht="14.65" customHeight="1" x14ac:dyDescent="0.25">
      <c r="A86" s="391" t="s">
        <v>425</v>
      </c>
      <c r="B86" s="409"/>
      <c r="C86" s="405"/>
      <c r="D86" s="389" t="s">
        <v>36</v>
      </c>
      <c r="E86" s="409"/>
      <c r="F86" s="409"/>
      <c r="G86" s="393"/>
      <c r="H86" s="404" t="s">
        <v>3</v>
      </c>
      <c r="J86" s="388">
        <f>+K87</f>
        <v>55231.26666666667</v>
      </c>
      <c r="L86" s="393"/>
      <c r="M86" s="405" t="str">
        <f t="shared" ref="M86:P89" si="16">H86</f>
        <v>Interest expense</v>
      </c>
      <c r="O86" s="402">
        <f t="shared" si="16"/>
        <v>55231.26666666667</v>
      </c>
      <c r="P86" s="402"/>
      <c r="Q86" s="393"/>
    </row>
    <row r="87" spans="1:17" ht="14.65" customHeight="1" x14ac:dyDescent="0.25">
      <c r="A87" s="485"/>
      <c r="B87" s="409"/>
      <c r="C87" s="405"/>
      <c r="D87" s="404"/>
      <c r="E87" s="409"/>
      <c r="F87" s="409"/>
      <c r="G87" s="393"/>
      <c r="H87" s="405"/>
      <c r="I87" s="389" t="str">
        <f>+H75</f>
        <v>Deferred outflow of resources - lease modification</v>
      </c>
      <c r="K87" s="388">
        <f>+'Ex. 4 Calcs-City'!Q31</f>
        <v>55231.26666666667</v>
      </c>
      <c r="L87" s="393"/>
      <c r="M87" s="405"/>
      <c r="N87" s="389" t="str">
        <f t="shared" si="16"/>
        <v>Deferred outflow of resources - lease modification</v>
      </c>
      <c r="O87" s="402"/>
      <c r="P87" s="402">
        <f t="shared" si="16"/>
        <v>55231.26666666667</v>
      </c>
      <c r="Q87" s="393"/>
    </row>
    <row r="88" spans="1:17" ht="14.65" customHeight="1" x14ac:dyDescent="0.25">
      <c r="A88" s="485"/>
      <c r="B88" s="409"/>
      <c r="C88" s="405"/>
      <c r="D88" s="404"/>
      <c r="E88" s="409"/>
      <c r="F88" s="409"/>
      <c r="G88" s="393"/>
      <c r="H88" s="405" t="s">
        <v>854</v>
      </c>
      <c r="L88" s="393"/>
      <c r="M88" s="405" t="str">
        <f t="shared" si="16"/>
        <v>[To amortize deferred outflow of resources from lease</v>
      </c>
      <c r="O88" s="402"/>
      <c r="P88" s="402"/>
      <c r="Q88" s="393"/>
    </row>
    <row r="89" spans="1:17" ht="14.65" customHeight="1" x14ac:dyDescent="0.25">
      <c r="A89" s="485"/>
      <c r="B89" s="409"/>
      <c r="C89" s="405"/>
      <c r="D89" s="404"/>
      <c r="E89" s="409"/>
      <c r="F89" s="409"/>
      <c r="G89" s="393"/>
      <c r="H89" s="406" t="s">
        <v>855</v>
      </c>
      <c r="L89" s="393"/>
      <c r="M89" s="405" t="str">
        <f t="shared" si="16"/>
        <v>modification due to refunding]</v>
      </c>
      <c r="O89" s="402"/>
      <c r="P89" s="402"/>
      <c r="Q89" s="393"/>
    </row>
    <row r="90" spans="1:17" ht="14.65" customHeight="1" x14ac:dyDescent="0.25">
      <c r="A90" s="485"/>
      <c r="B90" s="409"/>
      <c r="C90" s="405"/>
      <c r="D90" s="404"/>
      <c r="E90" s="409"/>
      <c r="F90" s="409"/>
      <c r="G90" s="393"/>
      <c r="H90" s="406"/>
      <c r="L90" s="393"/>
      <c r="M90" s="405"/>
      <c r="O90" s="402"/>
      <c r="P90" s="402"/>
      <c r="Q90" s="393"/>
    </row>
    <row r="91" spans="1:17" ht="14.65" customHeight="1" x14ac:dyDescent="0.25">
      <c r="A91" s="485"/>
      <c r="B91" s="409"/>
      <c r="C91" s="409"/>
      <c r="D91" s="409"/>
      <c r="E91" s="409"/>
      <c r="F91" s="409"/>
      <c r="G91" s="393"/>
      <c r="L91" s="393"/>
      <c r="M91" s="406"/>
      <c r="O91" s="402"/>
      <c r="P91" s="402"/>
      <c r="Q91" s="393"/>
    </row>
    <row r="92" spans="1:17" x14ac:dyDescent="0.25">
      <c r="A92" s="391" t="s">
        <v>428</v>
      </c>
      <c r="B92" s="401"/>
      <c r="C92" s="401"/>
      <c r="D92" s="389" t="s">
        <v>36</v>
      </c>
      <c r="E92" s="401"/>
      <c r="F92" s="401"/>
      <c r="G92" s="393"/>
      <c r="H92" s="404" t="str">
        <f>+H60</f>
        <v>Interest expense</v>
      </c>
      <c r="I92" s="404"/>
      <c r="J92" s="401">
        <f>'Ex. 4 Calcs-City'!I32-0.04</f>
        <v>1702416.4907</v>
      </c>
      <c r="K92" s="401"/>
      <c r="L92" s="393"/>
      <c r="M92" s="404" t="str">
        <f t="shared" ref="M92" si="17">H92</f>
        <v>Interest expense</v>
      </c>
      <c r="N92" s="404"/>
      <c r="O92" s="401">
        <f>J92</f>
        <v>1702416.4907</v>
      </c>
      <c r="P92" s="401"/>
      <c r="Q92" s="401"/>
    </row>
    <row r="93" spans="1:17" s="415" customFormat="1" ht="14.25" customHeight="1" x14ac:dyDescent="0.25">
      <c r="A93" s="485"/>
      <c r="B93" s="409"/>
      <c r="C93" s="409"/>
      <c r="D93" s="409"/>
      <c r="E93" s="409"/>
      <c r="F93" s="409"/>
      <c r="G93" s="393"/>
      <c r="H93" s="405"/>
      <c r="I93" s="404" t="s">
        <v>28</v>
      </c>
      <c r="J93" s="401"/>
      <c r="K93" s="401">
        <f>+J92</f>
        <v>1702416.4907</v>
      </c>
      <c r="L93" s="393"/>
      <c r="M93" s="404"/>
      <c r="N93" s="404" t="str">
        <f t="shared" ref="N93" si="18">I93</f>
        <v>Interest payable</v>
      </c>
      <c r="O93" s="401"/>
      <c r="P93" s="401">
        <f>K93</f>
        <v>1702416.4907</v>
      </c>
      <c r="Q93" s="393"/>
    </row>
    <row r="94" spans="1:17" s="415" customFormat="1" ht="14.25" customHeight="1" x14ac:dyDescent="0.25">
      <c r="A94" s="485"/>
      <c r="B94" s="409"/>
      <c r="C94" s="409"/>
      <c r="D94" s="409"/>
      <c r="E94" s="409"/>
      <c r="F94" s="409"/>
      <c r="G94" s="393"/>
      <c r="H94" s="405" t="s">
        <v>835</v>
      </c>
      <c r="I94" s="405"/>
      <c r="J94" s="409"/>
      <c r="K94" s="409"/>
      <c r="L94" s="393"/>
      <c r="M94" s="484" t="str">
        <f t="shared" ref="M94" si="19">H94</f>
        <v>[To record accrual of lease interest payable]</v>
      </c>
      <c r="N94" s="405"/>
      <c r="O94" s="409"/>
      <c r="P94" s="490"/>
      <c r="Q94" s="393"/>
    </row>
    <row r="95" spans="1:17" ht="14.65" customHeight="1" x14ac:dyDescent="0.25">
      <c r="A95" s="485"/>
      <c r="B95" s="409"/>
      <c r="C95" s="405"/>
      <c r="D95" s="404"/>
      <c r="E95" s="409"/>
      <c r="F95" s="409"/>
      <c r="G95" s="393"/>
      <c r="L95" s="393"/>
      <c r="M95" s="405"/>
      <c r="O95" s="402"/>
      <c r="P95" s="402"/>
      <c r="Q95" s="393"/>
    </row>
    <row r="96" spans="1:17" s="418" customFormat="1" ht="14.65" customHeight="1" x14ac:dyDescent="0.25">
      <c r="C96" s="404"/>
      <c r="D96" s="404"/>
      <c r="E96" s="409"/>
      <c r="F96" s="409"/>
      <c r="G96" s="393"/>
      <c r="J96" s="492"/>
      <c r="K96" s="492"/>
      <c r="L96" s="393"/>
      <c r="M96" s="405"/>
      <c r="O96" s="419"/>
      <c r="P96" s="419"/>
      <c r="Q96" s="393"/>
    </row>
    <row r="97" spans="1:17" ht="14.25" customHeight="1" x14ac:dyDescent="0.25">
      <c r="A97" s="398" t="s">
        <v>429</v>
      </c>
      <c r="B97" s="389"/>
      <c r="C97" s="389"/>
      <c r="D97" s="389"/>
      <c r="E97" s="389"/>
      <c r="F97" s="389"/>
      <c r="J97" s="402"/>
      <c r="K97" s="402"/>
      <c r="O97" s="409"/>
      <c r="P97" s="402"/>
      <c r="Q97" s="393"/>
    </row>
    <row r="98" spans="1:17" ht="14.25" customHeight="1" x14ac:dyDescent="0.25">
      <c r="A98" s="485" t="s">
        <v>261</v>
      </c>
      <c r="B98" s="389"/>
      <c r="C98" s="493" t="s">
        <v>797</v>
      </c>
      <c r="D98" s="484"/>
      <c r="E98" s="409">
        <f>ROUND(+'Ex. 4 Calcs-City'!J32,0)</f>
        <v>416198</v>
      </c>
      <c r="F98" s="409"/>
      <c r="G98" s="393"/>
      <c r="H98" s="389" t="s">
        <v>71</v>
      </c>
      <c r="J98" s="388">
        <f>+K100</f>
        <v>416198</v>
      </c>
      <c r="L98" s="393"/>
      <c r="M98" s="404" t="str">
        <f>+H98</f>
        <v>Lease liability</v>
      </c>
      <c r="O98" s="402">
        <f>+J98</f>
        <v>416198</v>
      </c>
      <c r="P98" s="402"/>
      <c r="Q98" s="393"/>
    </row>
    <row r="99" spans="1:17" ht="14.25" customHeight="1" x14ac:dyDescent="0.25">
      <c r="A99" s="422"/>
      <c r="B99" s="389"/>
      <c r="C99" s="493" t="s">
        <v>453</v>
      </c>
      <c r="D99" s="484"/>
      <c r="E99" s="409">
        <f>'Ex. 4 Calcs-City'!I32-0.04</f>
        <v>1702416.4907</v>
      </c>
      <c r="F99" s="409"/>
      <c r="G99" s="393"/>
      <c r="H99" s="389" t="s">
        <v>28</v>
      </c>
      <c r="J99" s="388">
        <f>+K101</f>
        <v>1702416.4907</v>
      </c>
      <c r="L99" s="393"/>
      <c r="M99" s="404" t="str">
        <f>+H99</f>
        <v>Interest payable</v>
      </c>
      <c r="O99" s="402">
        <f>+J99</f>
        <v>1702416.4907</v>
      </c>
      <c r="P99" s="402"/>
      <c r="Q99" s="393"/>
    </row>
    <row r="100" spans="1:17" ht="14.25" customHeight="1" x14ac:dyDescent="0.25">
      <c r="A100" s="422"/>
      <c r="B100" s="389"/>
      <c r="C100" s="397"/>
      <c r="D100" s="389" t="s">
        <v>2</v>
      </c>
      <c r="E100" s="409"/>
      <c r="F100" s="409">
        <f>ROUND(+'Ex. 4 Calcs-City'!H32,0)</f>
        <v>2118614</v>
      </c>
      <c r="G100" s="393"/>
      <c r="I100" s="389" t="str">
        <f>+C98</f>
        <v>Debt service - lease principal (gen long-term debt)</v>
      </c>
      <c r="K100" s="388">
        <f>+E98</f>
        <v>416198</v>
      </c>
      <c r="L100" s="393"/>
      <c r="M100" s="404"/>
      <c r="N100" s="389" t="str">
        <f>+D100</f>
        <v>Cash</v>
      </c>
      <c r="O100" s="402"/>
      <c r="P100" s="402">
        <f>+F100</f>
        <v>2118614</v>
      </c>
      <c r="Q100" s="393"/>
    </row>
    <row r="101" spans="1:17" ht="14.25" customHeight="1" x14ac:dyDescent="0.25">
      <c r="A101" s="422"/>
      <c r="B101" s="389"/>
      <c r="C101" s="405" t="s">
        <v>454</v>
      </c>
      <c r="D101" s="404"/>
      <c r="E101" s="409"/>
      <c r="F101" s="409"/>
      <c r="G101" s="393"/>
      <c r="I101" s="389" t="str">
        <f>+C99</f>
        <v xml:space="preserve">Debt service - lease Interest </v>
      </c>
      <c r="K101" s="388">
        <f>+E99</f>
        <v>1702416.4907</v>
      </c>
      <c r="L101" s="393"/>
      <c r="M101" s="405" t="str">
        <f>$C$51</f>
        <v>[To record annual lease payment made]</v>
      </c>
      <c r="O101" s="402"/>
      <c r="P101" s="402"/>
      <c r="Q101" s="393"/>
    </row>
    <row r="102" spans="1:17" ht="14.25" customHeight="1" x14ac:dyDescent="0.25">
      <c r="A102" s="422"/>
      <c r="B102" s="389"/>
      <c r="C102" s="389"/>
      <c r="D102" s="389"/>
      <c r="E102" s="389"/>
      <c r="F102" s="389"/>
      <c r="J102" s="402"/>
      <c r="K102" s="402"/>
      <c r="O102" s="409"/>
      <c r="P102" s="402"/>
      <c r="Q102" s="393"/>
    </row>
    <row r="103" spans="1:17" ht="14.25" customHeight="1" x14ac:dyDescent="0.25">
      <c r="A103" s="422"/>
      <c r="B103" s="389"/>
      <c r="C103" s="389"/>
      <c r="D103" s="389"/>
      <c r="E103" s="389"/>
      <c r="F103" s="389"/>
      <c r="J103" s="402"/>
      <c r="K103" s="402"/>
      <c r="O103" s="409"/>
      <c r="P103" s="402"/>
      <c r="Q103" s="393"/>
    </row>
    <row r="104" spans="1:17" ht="14.65" customHeight="1" x14ac:dyDescent="0.25">
      <c r="A104" s="485" t="s">
        <v>441</v>
      </c>
      <c r="B104" s="401"/>
      <c r="C104" s="404"/>
      <c r="D104" s="389" t="s">
        <v>36</v>
      </c>
      <c r="E104" s="409"/>
      <c r="F104" s="409"/>
      <c r="G104" s="393"/>
      <c r="H104" s="389" t="s">
        <v>632</v>
      </c>
      <c r="J104" s="388">
        <f>+K105</f>
        <v>1040954.6216435323</v>
      </c>
      <c r="L104" s="393"/>
      <c r="M104" s="404" t="str">
        <f t="shared" ref="M104" si="20">H104</f>
        <v>Amortization expense</v>
      </c>
      <c r="O104" s="402">
        <f t="shared" ref="O104" si="21">J104</f>
        <v>1040954.6216435323</v>
      </c>
      <c r="P104" s="402"/>
      <c r="Q104" s="393"/>
    </row>
    <row r="105" spans="1:17" ht="14.65" customHeight="1" x14ac:dyDescent="0.25">
      <c r="A105" s="485"/>
      <c r="B105" s="409"/>
      <c r="C105" s="405"/>
      <c r="D105" s="404"/>
      <c r="E105" s="409"/>
      <c r="F105" s="409"/>
      <c r="G105" s="393"/>
      <c r="I105" s="389" t="str">
        <f>$I$36</f>
        <v>Accumulated amortization - lease asset</v>
      </c>
      <c r="K105" s="388">
        <f>+'Ex. 4 Calcs-City'!N32</f>
        <v>1040954.6216435323</v>
      </c>
      <c r="L105" s="393"/>
      <c r="N105" s="404" t="str">
        <f t="shared" ref="N105" si="22">I105</f>
        <v>Accumulated amortization - lease asset</v>
      </c>
      <c r="O105" s="402"/>
      <c r="P105" s="402">
        <f t="shared" ref="P105" si="23">K105</f>
        <v>1040954.6216435323</v>
      </c>
      <c r="Q105" s="393"/>
    </row>
    <row r="106" spans="1:17" ht="14.65" customHeight="1" x14ac:dyDescent="0.25">
      <c r="A106" s="485"/>
      <c r="B106" s="409"/>
      <c r="C106" s="405"/>
      <c r="D106" s="404"/>
      <c r="E106" s="409"/>
      <c r="F106" s="409"/>
      <c r="G106" s="393"/>
      <c r="H106" s="405" t="s">
        <v>72</v>
      </c>
      <c r="L106" s="393"/>
      <c r="M106" s="404" t="str">
        <f t="shared" ref="M106:M107" si="24">H106</f>
        <v>[To record amortization of lease asset and recognize</v>
      </c>
      <c r="O106" s="402"/>
      <c r="P106" s="402"/>
      <c r="Q106" s="393"/>
    </row>
    <row r="107" spans="1:17" ht="14.65" customHeight="1" x14ac:dyDescent="0.25">
      <c r="A107" s="485"/>
      <c r="B107" s="409"/>
      <c r="C107" s="405"/>
      <c r="D107" s="404"/>
      <c r="E107" s="409"/>
      <c r="F107" s="409"/>
      <c r="G107" s="393"/>
      <c r="H107" s="405" t="s">
        <v>74</v>
      </c>
      <c r="L107" s="393"/>
      <c r="M107" s="405" t="str">
        <f t="shared" si="24"/>
        <v>rental expense]</v>
      </c>
      <c r="O107" s="402"/>
      <c r="P107" s="402"/>
      <c r="Q107" s="393"/>
    </row>
    <row r="108" spans="1:17" ht="14.65" customHeight="1" x14ac:dyDescent="0.25">
      <c r="A108" s="485"/>
      <c r="B108" s="409"/>
      <c r="C108" s="405"/>
      <c r="D108" s="404"/>
      <c r="E108" s="409"/>
      <c r="F108" s="409"/>
      <c r="G108" s="393"/>
      <c r="H108" s="405"/>
      <c r="L108" s="393"/>
      <c r="M108" s="405"/>
      <c r="O108" s="402"/>
      <c r="P108" s="402"/>
      <c r="Q108" s="393"/>
    </row>
    <row r="109" spans="1:17" ht="14.65" customHeight="1" x14ac:dyDescent="0.25">
      <c r="A109" s="485"/>
      <c r="B109" s="409"/>
      <c r="C109" s="405"/>
      <c r="D109" s="404"/>
      <c r="E109" s="409"/>
      <c r="F109" s="409"/>
      <c r="G109" s="393"/>
      <c r="L109" s="393"/>
      <c r="M109" s="405"/>
      <c r="O109" s="402"/>
      <c r="P109" s="402"/>
      <c r="Q109" s="393"/>
    </row>
    <row r="110" spans="1:17" ht="14.65" customHeight="1" x14ac:dyDescent="0.25">
      <c r="A110" s="391" t="s">
        <v>442</v>
      </c>
      <c r="B110" s="409"/>
      <c r="C110" s="405"/>
      <c r="D110" s="389" t="s">
        <v>36</v>
      </c>
      <c r="E110" s="409"/>
      <c r="F110" s="409"/>
      <c r="G110" s="393"/>
      <c r="H110" s="404" t="str">
        <f>+H86</f>
        <v>Interest expense</v>
      </c>
      <c r="J110" s="388">
        <f>+K111</f>
        <v>55231</v>
      </c>
      <c r="L110" s="393"/>
      <c r="M110" s="404" t="str">
        <f t="shared" ref="M110" si="25">H110</f>
        <v>Interest expense</v>
      </c>
      <c r="O110" s="402">
        <f t="shared" ref="O110" si="26">J110</f>
        <v>55231</v>
      </c>
      <c r="P110" s="402"/>
      <c r="Q110" s="393"/>
    </row>
    <row r="111" spans="1:17" ht="14.65" customHeight="1" x14ac:dyDescent="0.25">
      <c r="A111" s="485"/>
      <c r="B111" s="409"/>
      <c r="C111" s="405"/>
      <c r="D111" s="404"/>
      <c r="E111" s="409"/>
      <c r="F111" s="409"/>
      <c r="G111" s="393"/>
      <c r="H111" s="405"/>
      <c r="I111" s="389" t="str">
        <f>$I$87</f>
        <v>Deferred outflow of resources - lease modification</v>
      </c>
      <c r="K111" s="388">
        <f>ROUND(+'Ex. 4 Calcs-City'!Q32,0)</f>
        <v>55231</v>
      </c>
      <c r="L111" s="393"/>
      <c r="M111" s="405"/>
      <c r="N111" s="389" t="str">
        <f t="shared" ref="N111" si="27">I111</f>
        <v>Deferred outflow of resources - lease modification</v>
      </c>
      <c r="O111" s="402"/>
      <c r="P111" s="402">
        <f t="shared" ref="P111" si="28">K111</f>
        <v>55231</v>
      </c>
      <c r="Q111" s="393"/>
    </row>
    <row r="112" spans="1:17" ht="14.65" customHeight="1" x14ac:dyDescent="0.25">
      <c r="A112" s="485"/>
      <c r="B112" s="409"/>
      <c r="C112" s="405"/>
      <c r="D112" s="404"/>
      <c r="E112" s="409"/>
      <c r="F112" s="409"/>
      <c r="G112" s="393"/>
      <c r="H112" s="405" t="s">
        <v>854</v>
      </c>
      <c r="L112" s="393"/>
      <c r="M112" s="405" t="str">
        <f t="shared" ref="M112:M113" si="29">H112</f>
        <v>[To amortize deferred outflow of resources from lease</v>
      </c>
      <c r="O112" s="402"/>
      <c r="P112" s="402"/>
      <c r="Q112" s="393"/>
    </row>
    <row r="113" spans="1:17" ht="14.65" customHeight="1" x14ac:dyDescent="0.25">
      <c r="A113" s="485"/>
      <c r="B113" s="409"/>
      <c r="C113" s="405"/>
      <c r="D113" s="404"/>
      <c r="E113" s="409"/>
      <c r="F113" s="409"/>
      <c r="G113" s="393"/>
      <c r="H113" s="406" t="s">
        <v>855</v>
      </c>
      <c r="L113" s="393"/>
      <c r="M113" s="405" t="str">
        <f t="shared" si="29"/>
        <v>modification due to refunding]</v>
      </c>
      <c r="O113" s="402"/>
      <c r="P113" s="402"/>
      <c r="Q113" s="393"/>
    </row>
    <row r="114" spans="1:17" ht="14.65" customHeight="1" x14ac:dyDescent="0.25">
      <c r="A114" s="485"/>
      <c r="B114" s="409"/>
      <c r="C114" s="405"/>
      <c r="D114" s="404"/>
      <c r="E114" s="409"/>
      <c r="F114" s="409"/>
      <c r="G114" s="393"/>
      <c r="L114" s="393"/>
      <c r="M114" s="405"/>
      <c r="O114" s="402"/>
      <c r="P114" s="402"/>
      <c r="Q114" s="393"/>
    </row>
    <row r="115" spans="1:17" ht="14.65" customHeight="1" x14ac:dyDescent="0.25">
      <c r="A115" s="485"/>
      <c r="B115" s="409"/>
      <c r="C115" s="409"/>
      <c r="D115" s="409"/>
      <c r="E115" s="409"/>
      <c r="F115" s="409"/>
      <c r="G115" s="393"/>
      <c r="L115" s="393"/>
      <c r="M115" s="406"/>
      <c r="O115" s="402"/>
      <c r="P115" s="402"/>
      <c r="Q115" s="393"/>
    </row>
    <row r="116" spans="1:17" x14ac:dyDescent="0.25">
      <c r="A116" s="391" t="s">
        <v>443</v>
      </c>
      <c r="B116" s="401"/>
      <c r="C116" s="401"/>
      <c r="D116" s="389" t="s">
        <v>36</v>
      </c>
      <c r="E116" s="401"/>
      <c r="F116" s="401"/>
      <c r="G116" s="393"/>
      <c r="H116" s="404" t="str">
        <f>+H92</f>
        <v>Interest expense</v>
      </c>
      <c r="I116" s="404"/>
      <c r="J116" s="401">
        <f>ROUND(+'Ex. 4 Calcs-City'!I33,0)</f>
        <v>1681378</v>
      </c>
      <c r="K116" s="401"/>
      <c r="L116" s="393"/>
      <c r="M116" s="404" t="str">
        <f t="shared" ref="M116" si="30">H116</f>
        <v>Interest expense</v>
      </c>
      <c r="N116" s="404"/>
      <c r="O116" s="401">
        <f>J116</f>
        <v>1681378</v>
      </c>
      <c r="P116" s="401"/>
      <c r="Q116" s="401"/>
    </row>
    <row r="117" spans="1:17" s="415" customFormat="1" ht="14.25" customHeight="1" x14ac:dyDescent="0.25">
      <c r="A117" s="485"/>
      <c r="B117" s="409"/>
      <c r="C117" s="409"/>
      <c r="D117" s="409"/>
      <c r="E117" s="409"/>
      <c r="F117" s="409"/>
      <c r="G117" s="393"/>
      <c r="H117" s="405"/>
      <c r="I117" s="404" t="s">
        <v>28</v>
      </c>
      <c r="J117" s="401"/>
      <c r="K117" s="401">
        <f>+J116</f>
        <v>1681378</v>
      </c>
      <c r="L117" s="393"/>
      <c r="M117" s="404"/>
      <c r="N117" s="404" t="str">
        <f t="shared" ref="N117" si="31">I117</f>
        <v>Interest payable</v>
      </c>
      <c r="O117" s="401"/>
      <c r="P117" s="401">
        <f>K117</f>
        <v>1681378</v>
      </c>
      <c r="Q117" s="393"/>
    </row>
    <row r="118" spans="1:17" s="415" customFormat="1" ht="14.25" customHeight="1" x14ac:dyDescent="0.25">
      <c r="A118" s="485"/>
      <c r="B118" s="409"/>
      <c r="C118" s="409"/>
      <c r="D118" s="409"/>
      <c r="E118" s="409"/>
      <c r="F118" s="409"/>
      <c r="G118" s="393"/>
      <c r="H118" s="405" t="s">
        <v>835</v>
      </c>
      <c r="I118" s="405"/>
      <c r="J118" s="409"/>
      <c r="K118" s="409"/>
      <c r="L118" s="393"/>
      <c r="M118" s="484" t="str">
        <f t="shared" ref="M118" si="32">H118</f>
        <v>[To record accrual of lease interest payable]</v>
      </c>
      <c r="N118" s="405"/>
      <c r="O118" s="409"/>
      <c r="P118" s="490"/>
      <c r="Q118" s="393"/>
    </row>
    <row r="119" spans="1:17" s="415" customFormat="1" ht="14.65" customHeight="1" x14ac:dyDescent="0.25">
      <c r="A119" s="485"/>
      <c r="B119" s="409"/>
      <c r="C119" s="409"/>
      <c r="D119" s="409"/>
      <c r="E119" s="409"/>
      <c r="F119" s="409"/>
      <c r="G119" s="393"/>
      <c r="H119" s="405"/>
      <c r="I119" s="404"/>
      <c r="J119" s="409"/>
      <c r="K119" s="409"/>
      <c r="L119" s="393"/>
      <c r="M119" s="404"/>
      <c r="N119" s="404"/>
      <c r="O119" s="409"/>
      <c r="P119" s="490"/>
      <c r="Q119" s="393"/>
    </row>
    <row r="120" spans="1:17" ht="14.65" customHeight="1" x14ac:dyDescent="0.25">
      <c r="A120" s="485"/>
      <c r="B120" s="409"/>
      <c r="C120" s="405"/>
      <c r="D120" s="389"/>
      <c r="E120" s="409"/>
      <c r="F120" s="409"/>
      <c r="G120" s="393"/>
      <c r="H120" s="405"/>
      <c r="L120" s="393"/>
      <c r="M120" s="424"/>
      <c r="O120" s="389"/>
      <c r="P120" s="402"/>
      <c r="Q120" s="393"/>
    </row>
    <row r="121" spans="1:17" ht="16.5" thickBot="1" x14ac:dyDescent="0.3">
      <c r="E121" s="410">
        <f>ROUND(SUM(E6:E120)-SUM(F6:F120),0)</f>
        <v>0</v>
      </c>
      <c r="J121" s="410">
        <f>SUM(J6:J120)-SUM(K6:K120)</f>
        <v>0</v>
      </c>
      <c r="O121" s="410">
        <f>ROUND(SUM(O6:O120)-SUM(P6:P120),0)</f>
        <v>0</v>
      </c>
    </row>
    <row r="122" spans="1:17" s="415" customFormat="1" ht="14.65" customHeight="1" thickBot="1" x14ac:dyDescent="0.3">
      <c r="A122" s="411"/>
      <c r="B122" s="409"/>
      <c r="C122" s="496" t="s">
        <v>836</v>
      </c>
      <c r="D122" s="413"/>
      <c r="E122" s="413"/>
      <c r="F122" s="414"/>
      <c r="G122" s="393"/>
      <c r="H122" s="496" t="s">
        <v>836</v>
      </c>
      <c r="I122" s="413"/>
      <c r="J122" s="413"/>
      <c r="K122" s="414"/>
      <c r="L122" s="393"/>
      <c r="M122" s="496" t="s">
        <v>836</v>
      </c>
      <c r="N122" s="413"/>
      <c r="O122" s="413"/>
      <c r="P122" s="414"/>
      <c r="Q122" s="393"/>
    </row>
  </sheetData>
  <mergeCells count="4">
    <mergeCell ref="C4:F4"/>
    <mergeCell ref="H4:K4"/>
    <mergeCell ref="M4:P4"/>
    <mergeCell ref="A1:P1"/>
  </mergeCells>
  <pageMargins left="0.7" right="0.7" top="0.75" bottom="0.75" header="0.3" footer="0.3"/>
  <pageSetup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workbookViewId="0"/>
  </sheetViews>
  <sheetFormatPr defaultColWidth="9" defaultRowHeight="18.75" x14ac:dyDescent="0.3"/>
  <cols>
    <col min="1" max="1" width="5.5703125" style="60" customWidth="1"/>
    <col min="2" max="2" width="15" style="161" customWidth="1"/>
    <col min="3" max="3" width="25.28515625" style="161" customWidth="1"/>
    <col min="4" max="4" width="19" style="161" bestFit="1" customWidth="1"/>
    <col min="5" max="5" width="15" style="161" customWidth="1"/>
    <col min="6" max="6" width="20.5703125" style="161" customWidth="1"/>
    <col min="7" max="7" width="19.140625" style="60" customWidth="1"/>
    <col min="8" max="8" width="16" style="60" bestFit="1" customWidth="1"/>
    <col min="9" max="16384" width="9" style="60"/>
  </cols>
  <sheetData>
    <row r="2" spans="2:8" x14ac:dyDescent="0.3">
      <c r="B2" s="255" t="s">
        <v>533</v>
      </c>
    </row>
    <row r="4" spans="2:8" x14ac:dyDescent="0.3">
      <c r="B4" s="146" t="s">
        <v>460</v>
      </c>
      <c r="C4" s="146"/>
      <c r="D4" s="146"/>
      <c r="E4" s="257"/>
      <c r="F4" s="162"/>
    </row>
    <row r="5" spans="2:8" x14ac:dyDescent="0.3">
      <c r="B5" s="161" t="s">
        <v>459</v>
      </c>
      <c r="D5" s="256">
        <v>90000000</v>
      </c>
      <c r="E5" s="258"/>
    </row>
    <row r="6" spans="2:8" x14ac:dyDescent="0.3">
      <c r="B6" s="161" t="s">
        <v>461</v>
      </c>
      <c r="D6" s="256">
        <v>72000000</v>
      </c>
      <c r="E6" s="258"/>
    </row>
    <row r="7" spans="2:8" x14ac:dyDescent="0.3">
      <c r="B7" s="161" t="s">
        <v>476</v>
      </c>
      <c r="D7" s="268">
        <f>+D6/D5</f>
        <v>0.8</v>
      </c>
      <c r="E7" s="258"/>
    </row>
    <row r="8" spans="2:8" x14ac:dyDescent="0.3">
      <c r="B8" s="161" t="s">
        <v>465</v>
      </c>
      <c r="D8" s="268">
        <f>1-D7</f>
        <v>0.19999999999999996</v>
      </c>
      <c r="E8" s="258"/>
    </row>
    <row r="9" spans="2:8" x14ac:dyDescent="0.3">
      <c r="B9" s="161" t="s">
        <v>244</v>
      </c>
      <c r="C9" s="60"/>
      <c r="D9" s="256">
        <v>50000000</v>
      </c>
      <c r="E9" s="258"/>
    </row>
    <row r="10" spans="2:8" x14ac:dyDescent="0.3">
      <c r="B10" s="161" t="s">
        <v>867</v>
      </c>
      <c r="C10" s="60"/>
      <c r="D10" s="256">
        <v>38000000</v>
      </c>
    </row>
    <row r="11" spans="2:8" x14ac:dyDescent="0.3">
      <c r="B11" s="304"/>
      <c r="C11" s="60"/>
      <c r="D11" s="641"/>
      <c r="E11" s="258"/>
    </row>
    <row r="12" spans="2:8" x14ac:dyDescent="0.3">
      <c r="D12" s="256"/>
      <c r="E12" s="258"/>
    </row>
    <row r="13" spans="2:8" x14ac:dyDescent="0.3">
      <c r="B13" s="259" t="s">
        <v>458</v>
      </c>
      <c r="C13" s="259"/>
      <c r="D13" s="259"/>
      <c r="F13" s="262" t="s">
        <v>469</v>
      </c>
      <c r="G13" s="262"/>
      <c r="H13" s="262"/>
    </row>
    <row r="14" spans="2:8" x14ac:dyDescent="0.3">
      <c r="B14" s="161" t="s">
        <v>249</v>
      </c>
      <c r="D14" s="260">
        <v>44197</v>
      </c>
      <c r="F14" s="161" t="s">
        <v>470</v>
      </c>
      <c r="G14" s="161"/>
      <c r="H14" s="260">
        <f>+D14</f>
        <v>44197</v>
      </c>
    </row>
    <row r="15" spans="2:8" x14ac:dyDescent="0.3">
      <c r="B15" s="161" t="s">
        <v>30</v>
      </c>
      <c r="D15" s="261">
        <v>50</v>
      </c>
      <c r="F15" s="161" t="s">
        <v>30</v>
      </c>
      <c r="G15" s="161"/>
      <c r="H15" s="261">
        <v>50</v>
      </c>
    </row>
    <row r="16" spans="2:8" x14ac:dyDescent="0.3">
      <c r="B16" s="161" t="s">
        <v>245</v>
      </c>
      <c r="D16" s="256">
        <v>110000000</v>
      </c>
      <c r="F16" s="60" t="s">
        <v>121</v>
      </c>
      <c r="H16" s="256">
        <v>7000000</v>
      </c>
    </row>
    <row r="17" spans="1:8" x14ac:dyDescent="0.3">
      <c r="B17" s="161" t="s">
        <v>246</v>
      </c>
      <c r="D17" s="256">
        <v>1000000</v>
      </c>
      <c r="F17" s="161" t="s">
        <v>755</v>
      </c>
    </row>
    <row r="18" spans="1:8" x14ac:dyDescent="0.3">
      <c r="B18" s="161" t="s">
        <v>247</v>
      </c>
      <c r="D18" s="256">
        <f>+D16*0.05</f>
        <v>5500000</v>
      </c>
      <c r="F18" s="162" t="s">
        <v>756</v>
      </c>
      <c r="H18" s="97"/>
    </row>
    <row r="19" spans="1:8" x14ac:dyDescent="0.3">
      <c r="B19" s="161" t="s">
        <v>463</v>
      </c>
      <c r="C19" s="161">
        <v>102</v>
      </c>
      <c r="D19" s="256">
        <f>+D16*0.02</f>
        <v>2200000</v>
      </c>
      <c r="E19" s="60"/>
      <c r="F19" s="60"/>
    </row>
    <row r="20" spans="1:8" x14ac:dyDescent="0.3">
      <c r="B20" s="161" t="s">
        <v>482</v>
      </c>
      <c r="D20" s="256">
        <f>+D16+D19-D17-D18</f>
        <v>105700000</v>
      </c>
    </row>
    <row r="21" spans="1:8" x14ac:dyDescent="0.3">
      <c r="B21" s="161" t="s">
        <v>292</v>
      </c>
      <c r="D21" s="270">
        <v>0.06</v>
      </c>
    </row>
    <row r="22" spans="1:8" x14ac:dyDescent="0.3">
      <c r="E22" s="267"/>
    </row>
    <row r="23" spans="1:8" x14ac:dyDescent="0.3">
      <c r="B23" s="841" t="s">
        <v>457</v>
      </c>
      <c r="C23" s="842"/>
      <c r="D23" s="842"/>
      <c r="E23" s="842"/>
      <c r="F23" s="842"/>
      <c r="G23" s="842"/>
      <c r="H23" s="843"/>
    </row>
    <row r="24" spans="1:8" s="139" customFormat="1" ht="56.25" x14ac:dyDescent="0.3">
      <c r="B24" s="837" t="s">
        <v>7</v>
      </c>
      <c r="C24" s="215" t="s">
        <v>241</v>
      </c>
      <c r="D24" s="263" t="s">
        <v>242</v>
      </c>
      <c r="E24" s="839" t="s">
        <v>243</v>
      </c>
      <c r="F24" s="215" t="s">
        <v>33</v>
      </c>
      <c r="G24" s="215" t="s">
        <v>751</v>
      </c>
      <c r="H24" s="215" t="s">
        <v>493</v>
      </c>
    </row>
    <row r="25" spans="1:8" s="139" customFormat="1" x14ac:dyDescent="0.3">
      <c r="B25" s="838"/>
      <c r="C25" s="222">
        <v>6978872</v>
      </c>
      <c r="D25" s="221">
        <v>0.06</v>
      </c>
      <c r="E25" s="840"/>
      <c r="F25" s="222">
        <f>+D16</f>
        <v>110000000</v>
      </c>
      <c r="G25" s="271">
        <v>5.524319338130702E-4</v>
      </c>
      <c r="H25" s="222">
        <f>+D19</f>
        <v>2200000</v>
      </c>
    </row>
    <row r="26" spans="1:8" x14ac:dyDescent="0.3">
      <c r="B26" s="264">
        <v>44197</v>
      </c>
      <c r="C26" s="265"/>
      <c r="D26" s="265"/>
      <c r="E26" s="265"/>
      <c r="F26" s="265"/>
      <c r="G26" s="265"/>
      <c r="H26" s="265"/>
    </row>
    <row r="27" spans="1:8" x14ac:dyDescent="0.3">
      <c r="A27" s="60">
        <v>1</v>
      </c>
      <c r="B27" s="264">
        <v>44562</v>
      </c>
      <c r="C27" s="176">
        <f>+C25</f>
        <v>6978872</v>
      </c>
      <c r="D27" s="176">
        <f>+F25*$D$25</f>
        <v>6600000</v>
      </c>
      <c r="E27" s="176">
        <f>+C27-D27</f>
        <v>378872</v>
      </c>
      <c r="F27" s="176">
        <f>+F25-E27</f>
        <v>109621128</v>
      </c>
      <c r="G27" s="176">
        <f>ROUND(+F25*G25,0)</f>
        <v>60768</v>
      </c>
      <c r="H27" s="176">
        <f>+H25-G27</f>
        <v>2139232</v>
      </c>
    </row>
    <row r="28" spans="1:8" x14ac:dyDescent="0.3">
      <c r="A28" s="60">
        <v>2</v>
      </c>
      <c r="B28" s="264">
        <v>44927</v>
      </c>
      <c r="C28" s="176">
        <f t="shared" ref="C28:C75" si="0">+C27</f>
        <v>6978872</v>
      </c>
      <c r="D28" s="176">
        <f>ROUND(F27*$D$25,0)</f>
        <v>6577268</v>
      </c>
      <c r="E28" s="176">
        <f t="shared" ref="E28:E66" si="1">+C28-D28</f>
        <v>401604</v>
      </c>
      <c r="F28" s="176">
        <f t="shared" ref="F28:F66" si="2">+F27-E28</f>
        <v>109219524</v>
      </c>
      <c r="G28" s="176">
        <f>ROUND(+F27*$G$25,0)</f>
        <v>60558</v>
      </c>
      <c r="H28" s="176">
        <f>+H27-G28</f>
        <v>2078674</v>
      </c>
    </row>
    <row r="29" spans="1:8" x14ac:dyDescent="0.3">
      <c r="A29" s="60">
        <v>3</v>
      </c>
      <c r="B29" s="264">
        <v>45292</v>
      </c>
      <c r="C29" s="176">
        <f t="shared" si="0"/>
        <v>6978872</v>
      </c>
      <c r="D29" s="176">
        <f t="shared" ref="D29:D76" si="3">ROUND(F28*$D$25,0)</f>
        <v>6553171</v>
      </c>
      <c r="E29" s="176">
        <f t="shared" si="1"/>
        <v>425701</v>
      </c>
      <c r="F29" s="176">
        <f t="shared" si="2"/>
        <v>108793823</v>
      </c>
      <c r="G29" s="176">
        <f t="shared" ref="G29:G75" si="4">ROUND(+F28*$G$25,0)</f>
        <v>60336</v>
      </c>
      <c r="H29" s="176">
        <f t="shared" ref="H29:H76" si="5">+H28-G29</f>
        <v>2018338</v>
      </c>
    </row>
    <row r="30" spans="1:8" x14ac:dyDescent="0.3">
      <c r="A30" s="60">
        <v>4</v>
      </c>
      <c r="B30" s="264">
        <v>45658</v>
      </c>
      <c r="C30" s="176">
        <f t="shared" si="0"/>
        <v>6978872</v>
      </c>
      <c r="D30" s="176">
        <f t="shared" si="3"/>
        <v>6527629</v>
      </c>
      <c r="E30" s="176">
        <f t="shared" si="1"/>
        <v>451243</v>
      </c>
      <c r="F30" s="176">
        <f t="shared" si="2"/>
        <v>108342580</v>
      </c>
      <c r="G30" s="176">
        <f t="shared" si="4"/>
        <v>60101</v>
      </c>
      <c r="H30" s="176">
        <f t="shared" si="5"/>
        <v>1958237</v>
      </c>
    </row>
    <row r="31" spans="1:8" x14ac:dyDescent="0.3">
      <c r="A31" s="60">
        <v>5</v>
      </c>
      <c r="B31" s="264">
        <v>46023</v>
      </c>
      <c r="C31" s="176">
        <f t="shared" si="0"/>
        <v>6978872</v>
      </c>
      <c r="D31" s="176">
        <f t="shared" si="3"/>
        <v>6500555</v>
      </c>
      <c r="E31" s="176">
        <f t="shared" si="1"/>
        <v>478317</v>
      </c>
      <c r="F31" s="176">
        <f t="shared" si="2"/>
        <v>107864263</v>
      </c>
      <c r="G31" s="176">
        <f t="shared" si="4"/>
        <v>59852</v>
      </c>
      <c r="H31" s="176">
        <f t="shared" si="5"/>
        <v>1898385</v>
      </c>
    </row>
    <row r="32" spans="1:8" x14ac:dyDescent="0.3">
      <c r="A32" s="60">
        <v>6</v>
      </c>
      <c r="B32" s="264">
        <v>46388</v>
      </c>
      <c r="C32" s="176">
        <f t="shared" si="0"/>
        <v>6978872</v>
      </c>
      <c r="D32" s="176">
        <f t="shared" si="3"/>
        <v>6471856</v>
      </c>
      <c r="E32" s="176">
        <f t="shared" si="1"/>
        <v>507016</v>
      </c>
      <c r="F32" s="176">
        <f t="shared" si="2"/>
        <v>107357247</v>
      </c>
      <c r="G32" s="176">
        <f t="shared" si="4"/>
        <v>59588</v>
      </c>
      <c r="H32" s="176">
        <f t="shared" si="5"/>
        <v>1838797</v>
      </c>
    </row>
    <row r="33" spans="1:8" x14ac:dyDescent="0.3">
      <c r="A33" s="60">
        <v>7</v>
      </c>
      <c r="B33" s="264">
        <v>46753</v>
      </c>
      <c r="C33" s="176">
        <f t="shared" si="0"/>
        <v>6978872</v>
      </c>
      <c r="D33" s="176">
        <f t="shared" si="3"/>
        <v>6441435</v>
      </c>
      <c r="E33" s="176">
        <f t="shared" si="1"/>
        <v>537437</v>
      </c>
      <c r="F33" s="176">
        <f t="shared" si="2"/>
        <v>106819810</v>
      </c>
      <c r="G33" s="176">
        <f t="shared" si="4"/>
        <v>59308</v>
      </c>
      <c r="H33" s="176">
        <f t="shared" si="5"/>
        <v>1779489</v>
      </c>
    </row>
    <row r="34" spans="1:8" x14ac:dyDescent="0.3">
      <c r="A34" s="60">
        <v>8</v>
      </c>
      <c r="B34" s="264">
        <v>47119</v>
      </c>
      <c r="C34" s="176">
        <f t="shared" si="0"/>
        <v>6978872</v>
      </c>
      <c r="D34" s="176">
        <f t="shared" si="3"/>
        <v>6409189</v>
      </c>
      <c r="E34" s="176">
        <f t="shared" si="1"/>
        <v>569683</v>
      </c>
      <c r="F34" s="176">
        <f t="shared" si="2"/>
        <v>106250127</v>
      </c>
      <c r="G34" s="176">
        <f t="shared" si="4"/>
        <v>59011</v>
      </c>
      <c r="H34" s="176">
        <f t="shared" si="5"/>
        <v>1720478</v>
      </c>
    </row>
    <row r="35" spans="1:8" x14ac:dyDescent="0.3">
      <c r="A35" s="60">
        <v>9</v>
      </c>
      <c r="B35" s="264">
        <v>47484</v>
      </c>
      <c r="C35" s="176">
        <f t="shared" si="0"/>
        <v>6978872</v>
      </c>
      <c r="D35" s="176">
        <f t="shared" si="3"/>
        <v>6375008</v>
      </c>
      <c r="E35" s="176">
        <f t="shared" si="1"/>
        <v>603864</v>
      </c>
      <c r="F35" s="176">
        <f t="shared" si="2"/>
        <v>105646263</v>
      </c>
      <c r="G35" s="176">
        <f t="shared" si="4"/>
        <v>58696</v>
      </c>
      <c r="H35" s="176">
        <f t="shared" si="5"/>
        <v>1661782</v>
      </c>
    </row>
    <row r="36" spans="1:8" x14ac:dyDescent="0.3">
      <c r="A36" s="60">
        <v>10</v>
      </c>
      <c r="B36" s="264">
        <v>47849</v>
      </c>
      <c r="C36" s="176">
        <f t="shared" si="0"/>
        <v>6978872</v>
      </c>
      <c r="D36" s="176">
        <f t="shared" si="3"/>
        <v>6338776</v>
      </c>
      <c r="E36" s="176">
        <f t="shared" si="1"/>
        <v>640096</v>
      </c>
      <c r="F36" s="176">
        <f t="shared" si="2"/>
        <v>105006167</v>
      </c>
      <c r="G36" s="176">
        <f t="shared" si="4"/>
        <v>58362</v>
      </c>
      <c r="H36" s="176">
        <f t="shared" si="5"/>
        <v>1603420</v>
      </c>
    </row>
    <row r="37" spans="1:8" x14ac:dyDescent="0.3">
      <c r="A37" s="60">
        <v>11</v>
      </c>
      <c r="B37" s="264">
        <v>48214</v>
      </c>
      <c r="C37" s="176">
        <f t="shared" si="0"/>
        <v>6978872</v>
      </c>
      <c r="D37" s="176">
        <f t="shared" si="3"/>
        <v>6300370</v>
      </c>
      <c r="E37" s="176">
        <f t="shared" si="1"/>
        <v>678502</v>
      </c>
      <c r="F37" s="176">
        <f t="shared" si="2"/>
        <v>104327665</v>
      </c>
      <c r="G37" s="176">
        <f t="shared" si="4"/>
        <v>58009</v>
      </c>
      <c r="H37" s="176">
        <f t="shared" si="5"/>
        <v>1545411</v>
      </c>
    </row>
    <row r="38" spans="1:8" x14ac:dyDescent="0.3">
      <c r="A38" s="60">
        <v>12</v>
      </c>
      <c r="B38" s="264">
        <v>48580</v>
      </c>
      <c r="C38" s="176">
        <f t="shared" si="0"/>
        <v>6978872</v>
      </c>
      <c r="D38" s="176">
        <f t="shared" si="3"/>
        <v>6259660</v>
      </c>
      <c r="E38" s="176">
        <f t="shared" si="1"/>
        <v>719212</v>
      </c>
      <c r="F38" s="176">
        <f t="shared" si="2"/>
        <v>103608453</v>
      </c>
      <c r="G38" s="176">
        <f t="shared" si="4"/>
        <v>57634</v>
      </c>
      <c r="H38" s="176">
        <f t="shared" si="5"/>
        <v>1487777</v>
      </c>
    </row>
    <row r="39" spans="1:8" x14ac:dyDescent="0.3">
      <c r="A39" s="60">
        <v>13</v>
      </c>
      <c r="B39" s="264">
        <v>48945</v>
      </c>
      <c r="C39" s="176">
        <f t="shared" si="0"/>
        <v>6978872</v>
      </c>
      <c r="D39" s="176">
        <f t="shared" si="3"/>
        <v>6216507</v>
      </c>
      <c r="E39" s="176">
        <f t="shared" si="1"/>
        <v>762365</v>
      </c>
      <c r="F39" s="176">
        <f t="shared" si="2"/>
        <v>102846088</v>
      </c>
      <c r="G39" s="176">
        <f t="shared" si="4"/>
        <v>57237</v>
      </c>
      <c r="H39" s="176">
        <f t="shared" si="5"/>
        <v>1430540</v>
      </c>
    </row>
    <row r="40" spans="1:8" x14ac:dyDescent="0.3">
      <c r="A40" s="60">
        <v>14</v>
      </c>
      <c r="B40" s="264">
        <v>49310</v>
      </c>
      <c r="C40" s="176">
        <f t="shared" si="0"/>
        <v>6978872</v>
      </c>
      <c r="D40" s="176">
        <f t="shared" si="3"/>
        <v>6170765</v>
      </c>
      <c r="E40" s="176">
        <f t="shared" si="1"/>
        <v>808107</v>
      </c>
      <c r="F40" s="176">
        <f t="shared" si="2"/>
        <v>102037981</v>
      </c>
      <c r="G40" s="176">
        <f t="shared" si="4"/>
        <v>56815</v>
      </c>
      <c r="H40" s="176">
        <f t="shared" si="5"/>
        <v>1373725</v>
      </c>
    </row>
    <row r="41" spans="1:8" x14ac:dyDescent="0.3">
      <c r="A41" s="60">
        <v>15</v>
      </c>
      <c r="B41" s="264">
        <v>49675</v>
      </c>
      <c r="C41" s="176">
        <f t="shared" si="0"/>
        <v>6978872</v>
      </c>
      <c r="D41" s="176">
        <f t="shared" si="3"/>
        <v>6122279</v>
      </c>
      <c r="E41" s="176">
        <f t="shared" si="1"/>
        <v>856593</v>
      </c>
      <c r="F41" s="176">
        <f t="shared" si="2"/>
        <v>101181388</v>
      </c>
      <c r="G41" s="176">
        <f t="shared" si="4"/>
        <v>56369</v>
      </c>
      <c r="H41" s="176">
        <f t="shared" si="5"/>
        <v>1317356</v>
      </c>
    </row>
    <row r="42" spans="1:8" x14ac:dyDescent="0.3">
      <c r="A42" s="60">
        <v>16</v>
      </c>
      <c r="B42" s="264">
        <v>50041</v>
      </c>
      <c r="C42" s="176">
        <f t="shared" si="0"/>
        <v>6978872</v>
      </c>
      <c r="D42" s="176">
        <f t="shared" si="3"/>
        <v>6070883</v>
      </c>
      <c r="E42" s="176">
        <f t="shared" si="1"/>
        <v>907989</v>
      </c>
      <c r="F42" s="176">
        <f t="shared" si="2"/>
        <v>100273399</v>
      </c>
      <c r="G42" s="176">
        <f t="shared" si="4"/>
        <v>55896</v>
      </c>
      <c r="H42" s="176">
        <f t="shared" si="5"/>
        <v>1261460</v>
      </c>
    </row>
    <row r="43" spans="1:8" x14ac:dyDescent="0.3">
      <c r="A43" s="60">
        <v>17</v>
      </c>
      <c r="B43" s="264">
        <v>50406</v>
      </c>
      <c r="C43" s="176">
        <f t="shared" si="0"/>
        <v>6978872</v>
      </c>
      <c r="D43" s="176">
        <f t="shared" si="3"/>
        <v>6016404</v>
      </c>
      <c r="E43" s="176">
        <f t="shared" si="1"/>
        <v>962468</v>
      </c>
      <c r="F43" s="176">
        <f t="shared" si="2"/>
        <v>99310931</v>
      </c>
      <c r="G43" s="176">
        <f t="shared" si="4"/>
        <v>55394</v>
      </c>
      <c r="H43" s="176">
        <f t="shared" si="5"/>
        <v>1206066</v>
      </c>
    </row>
    <row r="44" spans="1:8" x14ac:dyDescent="0.3">
      <c r="A44" s="60">
        <v>18</v>
      </c>
      <c r="B44" s="264">
        <v>50771</v>
      </c>
      <c r="C44" s="176">
        <f t="shared" si="0"/>
        <v>6978872</v>
      </c>
      <c r="D44" s="176">
        <f t="shared" si="3"/>
        <v>5958656</v>
      </c>
      <c r="E44" s="176">
        <f t="shared" si="1"/>
        <v>1020216</v>
      </c>
      <c r="F44" s="176">
        <f t="shared" si="2"/>
        <v>98290715</v>
      </c>
      <c r="G44" s="176">
        <f t="shared" si="4"/>
        <v>54863</v>
      </c>
      <c r="H44" s="176">
        <f t="shared" si="5"/>
        <v>1151203</v>
      </c>
    </row>
    <row r="45" spans="1:8" x14ac:dyDescent="0.3">
      <c r="A45" s="60">
        <v>19</v>
      </c>
      <c r="B45" s="264">
        <v>51136</v>
      </c>
      <c r="C45" s="176">
        <f t="shared" si="0"/>
        <v>6978872</v>
      </c>
      <c r="D45" s="176">
        <f t="shared" si="3"/>
        <v>5897443</v>
      </c>
      <c r="E45" s="176">
        <f t="shared" si="1"/>
        <v>1081429</v>
      </c>
      <c r="F45" s="176">
        <f t="shared" si="2"/>
        <v>97209286</v>
      </c>
      <c r="G45" s="176">
        <f t="shared" si="4"/>
        <v>54299</v>
      </c>
      <c r="H45" s="176">
        <f t="shared" si="5"/>
        <v>1096904</v>
      </c>
    </row>
    <row r="46" spans="1:8" x14ac:dyDescent="0.3">
      <c r="A46" s="60">
        <v>20</v>
      </c>
      <c r="B46" s="264">
        <v>51502</v>
      </c>
      <c r="C46" s="176">
        <f t="shared" si="0"/>
        <v>6978872</v>
      </c>
      <c r="D46" s="176">
        <f t="shared" si="3"/>
        <v>5832557</v>
      </c>
      <c r="E46" s="176">
        <f t="shared" si="1"/>
        <v>1146315</v>
      </c>
      <c r="F46" s="176">
        <f t="shared" si="2"/>
        <v>96062971</v>
      </c>
      <c r="G46" s="176">
        <f t="shared" si="4"/>
        <v>53702</v>
      </c>
      <c r="H46" s="176">
        <f t="shared" si="5"/>
        <v>1043202</v>
      </c>
    </row>
    <row r="47" spans="1:8" x14ac:dyDescent="0.3">
      <c r="A47" s="60">
        <v>21</v>
      </c>
      <c r="B47" s="264">
        <v>51867</v>
      </c>
      <c r="C47" s="176">
        <f t="shared" si="0"/>
        <v>6978872</v>
      </c>
      <c r="D47" s="176">
        <f t="shared" si="3"/>
        <v>5763778</v>
      </c>
      <c r="E47" s="176">
        <f t="shared" si="1"/>
        <v>1215094</v>
      </c>
      <c r="F47" s="176">
        <f t="shared" si="2"/>
        <v>94847877</v>
      </c>
      <c r="G47" s="176">
        <f t="shared" si="4"/>
        <v>53068</v>
      </c>
      <c r="H47" s="176">
        <f t="shared" si="5"/>
        <v>990134</v>
      </c>
    </row>
    <row r="48" spans="1:8" x14ac:dyDescent="0.3">
      <c r="A48" s="60">
        <v>22</v>
      </c>
      <c r="B48" s="264">
        <v>52232</v>
      </c>
      <c r="C48" s="176">
        <f t="shared" si="0"/>
        <v>6978872</v>
      </c>
      <c r="D48" s="176">
        <f t="shared" si="3"/>
        <v>5690873</v>
      </c>
      <c r="E48" s="176">
        <f t="shared" si="1"/>
        <v>1287999</v>
      </c>
      <c r="F48" s="176">
        <f t="shared" si="2"/>
        <v>93559878</v>
      </c>
      <c r="G48" s="176">
        <f t="shared" si="4"/>
        <v>52397</v>
      </c>
      <c r="H48" s="176">
        <f t="shared" si="5"/>
        <v>937737</v>
      </c>
    </row>
    <row r="49" spans="1:8" x14ac:dyDescent="0.3">
      <c r="A49" s="60">
        <v>23</v>
      </c>
      <c r="B49" s="264">
        <v>52597</v>
      </c>
      <c r="C49" s="176">
        <f t="shared" si="0"/>
        <v>6978872</v>
      </c>
      <c r="D49" s="176">
        <f t="shared" si="3"/>
        <v>5613593</v>
      </c>
      <c r="E49" s="176">
        <f t="shared" si="1"/>
        <v>1365279</v>
      </c>
      <c r="F49" s="176">
        <f t="shared" si="2"/>
        <v>92194599</v>
      </c>
      <c r="G49" s="176">
        <f t="shared" si="4"/>
        <v>51685</v>
      </c>
      <c r="H49" s="176">
        <f t="shared" si="5"/>
        <v>886052</v>
      </c>
    </row>
    <row r="50" spans="1:8" x14ac:dyDescent="0.3">
      <c r="A50" s="60">
        <v>24</v>
      </c>
      <c r="B50" s="264">
        <v>52963</v>
      </c>
      <c r="C50" s="176">
        <f t="shared" si="0"/>
        <v>6978872</v>
      </c>
      <c r="D50" s="176">
        <f t="shared" si="3"/>
        <v>5531676</v>
      </c>
      <c r="E50" s="176">
        <f t="shared" si="1"/>
        <v>1447196</v>
      </c>
      <c r="F50" s="176">
        <f t="shared" si="2"/>
        <v>90747403</v>
      </c>
      <c r="G50" s="176">
        <f t="shared" si="4"/>
        <v>50931</v>
      </c>
      <c r="H50" s="176">
        <f t="shared" si="5"/>
        <v>835121</v>
      </c>
    </row>
    <row r="51" spans="1:8" x14ac:dyDescent="0.3">
      <c r="A51" s="60">
        <v>25</v>
      </c>
      <c r="B51" s="264">
        <v>53328</v>
      </c>
      <c r="C51" s="176">
        <f t="shared" si="0"/>
        <v>6978872</v>
      </c>
      <c r="D51" s="176">
        <f t="shared" si="3"/>
        <v>5444844</v>
      </c>
      <c r="E51" s="176">
        <f t="shared" si="1"/>
        <v>1534028</v>
      </c>
      <c r="F51" s="176">
        <f t="shared" si="2"/>
        <v>89213375</v>
      </c>
      <c r="G51" s="176">
        <f t="shared" si="4"/>
        <v>50132</v>
      </c>
      <c r="H51" s="176">
        <f t="shared" si="5"/>
        <v>784989</v>
      </c>
    </row>
    <row r="52" spans="1:8" x14ac:dyDescent="0.3">
      <c r="A52" s="60">
        <v>26</v>
      </c>
      <c r="B52" s="264">
        <v>53693</v>
      </c>
      <c r="C52" s="176">
        <f t="shared" si="0"/>
        <v>6978872</v>
      </c>
      <c r="D52" s="176">
        <f t="shared" si="3"/>
        <v>5352803</v>
      </c>
      <c r="E52" s="176">
        <f t="shared" si="1"/>
        <v>1626069</v>
      </c>
      <c r="F52" s="176">
        <f t="shared" si="2"/>
        <v>87587306</v>
      </c>
      <c r="G52" s="176">
        <f t="shared" si="4"/>
        <v>49284</v>
      </c>
      <c r="H52" s="176">
        <f t="shared" si="5"/>
        <v>735705</v>
      </c>
    </row>
    <row r="53" spans="1:8" x14ac:dyDescent="0.3">
      <c r="A53" s="60">
        <v>27</v>
      </c>
      <c r="B53" s="264">
        <v>54058</v>
      </c>
      <c r="C53" s="176">
        <f t="shared" si="0"/>
        <v>6978872</v>
      </c>
      <c r="D53" s="176">
        <f t="shared" si="3"/>
        <v>5255238</v>
      </c>
      <c r="E53" s="176">
        <f t="shared" si="1"/>
        <v>1723634</v>
      </c>
      <c r="F53" s="176">
        <f t="shared" si="2"/>
        <v>85863672</v>
      </c>
      <c r="G53" s="176">
        <f t="shared" si="4"/>
        <v>48386</v>
      </c>
      <c r="H53" s="176">
        <f t="shared" si="5"/>
        <v>687319</v>
      </c>
    </row>
    <row r="54" spans="1:8" x14ac:dyDescent="0.3">
      <c r="A54" s="60">
        <v>28</v>
      </c>
      <c r="B54" s="264">
        <v>54424</v>
      </c>
      <c r="C54" s="176">
        <f t="shared" si="0"/>
        <v>6978872</v>
      </c>
      <c r="D54" s="176">
        <f t="shared" si="3"/>
        <v>5151820</v>
      </c>
      <c r="E54" s="176">
        <f t="shared" si="1"/>
        <v>1827052</v>
      </c>
      <c r="F54" s="176">
        <f t="shared" si="2"/>
        <v>84036620</v>
      </c>
      <c r="G54" s="176">
        <f t="shared" si="4"/>
        <v>47434</v>
      </c>
      <c r="H54" s="176">
        <f t="shared" si="5"/>
        <v>639885</v>
      </c>
    </row>
    <row r="55" spans="1:8" x14ac:dyDescent="0.3">
      <c r="A55" s="60">
        <v>29</v>
      </c>
      <c r="B55" s="264">
        <v>54789</v>
      </c>
      <c r="C55" s="176">
        <f t="shared" si="0"/>
        <v>6978872</v>
      </c>
      <c r="D55" s="176">
        <f t="shared" si="3"/>
        <v>5042197</v>
      </c>
      <c r="E55" s="176">
        <f t="shared" si="1"/>
        <v>1936675</v>
      </c>
      <c r="F55" s="176">
        <f t="shared" si="2"/>
        <v>82099945</v>
      </c>
      <c r="G55" s="176">
        <f t="shared" si="4"/>
        <v>46425</v>
      </c>
      <c r="H55" s="176">
        <f t="shared" si="5"/>
        <v>593460</v>
      </c>
    </row>
    <row r="56" spans="1:8" x14ac:dyDescent="0.3">
      <c r="A56" s="60">
        <v>30</v>
      </c>
      <c r="B56" s="264">
        <v>55154</v>
      </c>
      <c r="C56" s="176">
        <f t="shared" si="0"/>
        <v>6978872</v>
      </c>
      <c r="D56" s="176">
        <f t="shared" si="3"/>
        <v>4925997</v>
      </c>
      <c r="E56" s="176">
        <f t="shared" si="1"/>
        <v>2052875</v>
      </c>
      <c r="F56" s="176">
        <f t="shared" si="2"/>
        <v>80047070</v>
      </c>
      <c r="G56" s="176">
        <f t="shared" si="4"/>
        <v>45355</v>
      </c>
      <c r="H56" s="176">
        <f t="shared" si="5"/>
        <v>548105</v>
      </c>
    </row>
    <row r="57" spans="1:8" x14ac:dyDescent="0.3">
      <c r="A57" s="60">
        <v>31</v>
      </c>
      <c r="B57" s="264">
        <v>55519</v>
      </c>
      <c r="C57" s="176">
        <f t="shared" si="0"/>
        <v>6978872</v>
      </c>
      <c r="D57" s="176">
        <f t="shared" si="3"/>
        <v>4802824</v>
      </c>
      <c r="E57" s="176">
        <f t="shared" si="1"/>
        <v>2176048</v>
      </c>
      <c r="F57" s="176">
        <f t="shared" si="2"/>
        <v>77871022</v>
      </c>
      <c r="G57" s="176">
        <f t="shared" si="4"/>
        <v>44221</v>
      </c>
      <c r="H57" s="176">
        <f t="shared" si="5"/>
        <v>503884</v>
      </c>
    </row>
    <row r="58" spans="1:8" x14ac:dyDescent="0.3">
      <c r="A58" s="60">
        <v>32</v>
      </c>
      <c r="B58" s="264">
        <v>55885</v>
      </c>
      <c r="C58" s="176">
        <f t="shared" si="0"/>
        <v>6978872</v>
      </c>
      <c r="D58" s="176">
        <f t="shared" si="3"/>
        <v>4672261</v>
      </c>
      <c r="E58" s="176">
        <f t="shared" si="1"/>
        <v>2306611</v>
      </c>
      <c r="F58" s="176">
        <f t="shared" si="2"/>
        <v>75564411</v>
      </c>
      <c r="G58" s="176">
        <f t="shared" si="4"/>
        <v>43018</v>
      </c>
      <c r="H58" s="176">
        <f t="shared" si="5"/>
        <v>460866</v>
      </c>
    </row>
    <row r="59" spans="1:8" x14ac:dyDescent="0.3">
      <c r="A59" s="60">
        <v>33</v>
      </c>
      <c r="B59" s="264">
        <v>56250</v>
      </c>
      <c r="C59" s="176">
        <f t="shared" si="0"/>
        <v>6978872</v>
      </c>
      <c r="D59" s="176">
        <f t="shared" si="3"/>
        <v>4533865</v>
      </c>
      <c r="E59" s="176">
        <f t="shared" si="1"/>
        <v>2445007</v>
      </c>
      <c r="F59" s="176">
        <f t="shared" si="2"/>
        <v>73119404</v>
      </c>
      <c r="G59" s="176">
        <f t="shared" si="4"/>
        <v>41744</v>
      </c>
      <c r="H59" s="176">
        <f t="shared" si="5"/>
        <v>419122</v>
      </c>
    </row>
    <row r="60" spans="1:8" x14ac:dyDescent="0.3">
      <c r="A60" s="60">
        <v>34</v>
      </c>
      <c r="B60" s="264">
        <v>56615</v>
      </c>
      <c r="C60" s="176">
        <f t="shared" si="0"/>
        <v>6978872</v>
      </c>
      <c r="D60" s="176">
        <f t="shared" si="3"/>
        <v>4387164</v>
      </c>
      <c r="E60" s="176">
        <f t="shared" si="1"/>
        <v>2591708</v>
      </c>
      <c r="F60" s="176">
        <f t="shared" si="2"/>
        <v>70527696</v>
      </c>
      <c r="G60" s="176">
        <f t="shared" si="4"/>
        <v>40393</v>
      </c>
      <c r="H60" s="176">
        <f t="shared" si="5"/>
        <v>378729</v>
      </c>
    </row>
    <row r="61" spans="1:8" x14ac:dyDescent="0.3">
      <c r="A61" s="60">
        <v>35</v>
      </c>
      <c r="B61" s="264">
        <v>56980</v>
      </c>
      <c r="C61" s="176">
        <f t="shared" si="0"/>
        <v>6978872</v>
      </c>
      <c r="D61" s="176">
        <f t="shared" si="3"/>
        <v>4231662</v>
      </c>
      <c r="E61" s="176">
        <f t="shared" si="1"/>
        <v>2747210</v>
      </c>
      <c r="F61" s="176">
        <f t="shared" si="2"/>
        <v>67780486</v>
      </c>
      <c r="G61" s="176">
        <f t="shared" si="4"/>
        <v>38962</v>
      </c>
      <c r="H61" s="176">
        <f t="shared" si="5"/>
        <v>339767</v>
      </c>
    </row>
    <row r="62" spans="1:8" x14ac:dyDescent="0.3">
      <c r="A62" s="60">
        <v>36</v>
      </c>
      <c r="B62" s="264">
        <v>57346</v>
      </c>
      <c r="C62" s="176">
        <f t="shared" si="0"/>
        <v>6978872</v>
      </c>
      <c r="D62" s="176">
        <f t="shared" si="3"/>
        <v>4066829</v>
      </c>
      <c r="E62" s="176">
        <f t="shared" si="1"/>
        <v>2912043</v>
      </c>
      <c r="F62" s="176">
        <f t="shared" si="2"/>
        <v>64868443</v>
      </c>
      <c r="G62" s="176">
        <f t="shared" si="4"/>
        <v>37444</v>
      </c>
      <c r="H62" s="176">
        <f t="shared" si="5"/>
        <v>302323</v>
      </c>
    </row>
    <row r="63" spans="1:8" x14ac:dyDescent="0.3">
      <c r="A63" s="60">
        <v>37</v>
      </c>
      <c r="B63" s="264">
        <v>57711</v>
      </c>
      <c r="C63" s="176">
        <f t="shared" si="0"/>
        <v>6978872</v>
      </c>
      <c r="D63" s="176">
        <f t="shared" si="3"/>
        <v>3892107</v>
      </c>
      <c r="E63" s="176">
        <f t="shared" si="1"/>
        <v>3086765</v>
      </c>
      <c r="F63" s="176">
        <f t="shared" si="2"/>
        <v>61781678</v>
      </c>
      <c r="G63" s="176">
        <f t="shared" si="4"/>
        <v>35835</v>
      </c>
      <c r="H63" s="176">
        <f t="shared" si="5"/>
        <v>266488</v>
      </c>
    </row>
    <row r="64" spans="1:8" x14ac:dyDescent="0.3">
      <c r="A64" s="60">
        <v>38</v>
      </c>
      <c r="B64" s="264">
        <v>58076</v>
      </c>
      <c r="C64" s="176">
        <f t="shared" si="0"/>
        <v>6978872</v>
      </c>
      <c r="D64" s="176">
        <f t="shared" si="3"/>
        <v>3706901</v>
      </c>
      <c r="E64" s="176">
        <f t="shared" si="1"/>
        <v>3271971</v>
      </c>
      <c r="F64" s="176">
        <f t="shared" si="2"/>
        <v>58509707</v>
      </c>
      <c r="G64" s="176">
        <f t="shared" si="4"/>
        <v>34130</v>
      </c>
      <c r="H64" s="176">
        <f t="shared" si="5"/>
        <v>232358</v>
      </c>
    </row>
    <row r="65" spans="1:8" x14ac:dyDescent="0.3">
      <c r="A65" s="60">
        <v>39</v>
      </c>
      <c r="B65" s="264">
        <v>58441</v>
      </c>
      <c r="C65" s="176">
        <f t="shared" si="0"/>
        <v>6978872</v>
      </c>
      <c r="D65" s="176">
        <f t="shared" si="3"/>
        <v>3510582</v>
      </c>
      <c r="E65" s="176">
        <f t="shared" si="1"/>
        <v>3468290</v>
      </c>
      <c r="F65" s="176">
        <f t="shared" si="2"/>
        <v>55041417</v>
      </c>
      <c r="G65" s="176">
        <f t="shared" si="4"/>
        <v>32323</v>
      </c>
      <c r="H65" s="176">
        <f t="shared" si="5"/>
        <v>200035</v>
      </c>
    </row>
    <row r="66" spans="1:8" x14ac:dyDescent="0.3">
      <c r="A66" s="60">
        <v>40</v>
      </c>
      <c r="B66" s="264">
        <v>58807</v>
      </c>
      <c r="C66" s="176">
        <f t="shared" si="0"/>
        <v>6978872</v>
      </c>
      <c r="D66" s="176">
        <f t="shared" si="3"/>
        <v>3302485</v>
      </c>
      <c r="E66" s="176">
        <f t="shared" si="1"/>
        <v>3676387</v>
      </c>
      <c r="F66" s="176">
        <f t="shared" si="2"/>
        <v>51365030</v>
      </c>
      <c r="G66" s="176">
        <f t="shared" si="4"/>
        <v>30407</v>
      </c>
      <c r="H66" s="176">
        <f t="shared" si="5"/>
        <v>169628</v>
      </c>
    </row>
    <row r="67" spans="1:8" x14ac:dyDescent="0.3">
      <c r="A67" s="60">
        <v>41</v>
      </c>
      <c r="B67" s="264">
        <v>59172</v>
      </c>
      <c r="C67" s="176">
        <f t="shared" si="0"/>
        <v>6978872</v>
      </c>
      <c r="D67" s="176">
        <f t="shared" si="3"/>
        <v>3081902</v>
      </c>
      <c r="E67" s="176">
        <f t="shared" ref="E67:E76" si="6">+C67-D67</f>
        <v>3896970</v>
      </c>
      <c r="F67" s="176">
        <f t="shared" ref="F67:F76" si="7">+F66-E67</f>
        <v>47468060</v>
      </c>
      <c r="G67" s="176">
        <f t="shared" si="4"/>
        <v>28376</v>
      </c>
      <c r="H67" s="176">
        <f t="shared" si="5"/>
        <v>141252</v>
      </c>
    </row>
    <row r="68" spans="1:8" x14ac:dyDescent="0.3">
      <c r="A68" s="60">
        <v>42</v>
      </c>
      <c r="B68" s="264">
        <v>59537</v>
      </c>
      <c r="C68" s="176">
        <f t="shared" si="0"/>
        <v>6978872</v>
      </c>
      <c r="D68" s="176">
        <f t="shared" si="3"/>
        <v>2848084</v>
      </c>
      <c r="E68" s="176">
        <f t="shared" si="6"/>
        <v>4130788</v>
      </c>
      <c r="F68" s="176">
        <f t="shared" si="7"/>
        <v>43337272</v>
      </c>
      <c r="G68" s="176">
        <f t="shared" si="4"/>
        <v>26223</v>
      </c>
      <c r="H68" s="176">
        <f t="shared" si="5"/>
        <v>115029</v>
      </c>
    </row>
    <row r="69" spans="1:8" x14ac:dyDescent="0.3">
      <c r="A69" s="60">
        <v>43</v>
      </c>
      <c r="B69" s="264">
        <v>59902</v>
      </c>
      <c r="C69" s="176">
        <f t="shared" si="0"/>
        <v>6978872</v>
      </c>
      <c r="D69" s="176">
        <f t="shared" si="3"/>
        <v>2600236</v>
      </c>
      <c r="E69" s="176">
        <f t="shared" si="6"/>
        <v>4378636</v>
      </c>
      <c r="F69" s="176">
        <f t="shared" si="7"/>
        <v>38958636</v>
      </c>
      <c r="G69" s="176">
        <f t="shared" si="4"/>
        <v>23941</v>
      </c>
      <c r="H69" s="176">
        <f t="shared" si="5"/>
        <v>91088</v>
      </c>
    </row>
    <row r="70" spans="1:8" x14ac:dyDescent="0.3">
      <c r="A70" s="60">
        <v>44</v>
      </c>
      <c r="B70" s="264">
        <v>60268</v>
      </c>
      <c r="C70" s="176">
        <f t="shared" si="0"/>
        <v>6978872</v>
      </c>
      <c r="D70" s="176">
        <f t="shared" si="3"/>
        <v>2337518</v>
      </c>
      <c r="E70" s="176">
        <f t="shared" si="6"/>
        <v>4641354</v>
      </c>
      <c r="F70" s="176">
        <f t="shared" si="7"/>
        <v>34317282</v>
      </c>
      <c r="G70" s="176">
        <f t="shared" si="4"/>
        <v>21522</v>
      </c>
      <c r="H70" s="176">
        <f t="shared" si="5"/>
        <v>69566</v>
      </c>
    </row>
    <row r="71" spans="1:8" x14ac:dyDescent="0.3">
      <c r="A71" s="60">
        <v>45</v>
      </c>
      <c r="B71" s="264">
        <v>60633</v>
      </c>
      <c r="C71" s="176">
        <f t="shared" si="0"/>
        <v>6978872</v>
      </c>
      <c r="D71" s="176">
        <f t="shared" si="3"/>
        <v>2059037</v>
      </c>
      <c r="E71" s="176">
        <f t="shared" si="6"/>
        <v>4919835</v>
      </c>
      <c r="F71" s="176">
        <f t="shared" si="7"/>
        <v>29397447</v>
      </c>
      <c r="G71" s="176">
        <f t="shared" si="4"/>
        <v>18958</v>
      </c>
      <c r="H71" s="176">
        <f t="shared" si="5"/>
        <v>50608</v>
      </c>
    </row>
    <row r="72" spans="1:8" x14ac:dyDescent="0.3">
      <c r="A72" s="60">
        <v>46</v>
      </c>
      <c r="B72" s="264">
        <v>60998</v>
      </c>
      <c r="C72" s="176">
        <f t="shared" si="0"/>
        <v>6978872</v>
      </c>
      <c r="D72" s="176">
        <f t="shared" si="3"/>
        <v>1763847</v>
      </c>
      <c r="E72" s="176">
        <f t="shared" si="6"/>
        <v>5215025</v>
      </c>
      <c r="F72" s="176">
        <f t="shared" si="7"/>
        <v>24182422</v>
      </c>
      <c r="G72" s="176">
        <f t="shared" si="4"/>
        <v>16240</v>
      </c>
      <c r="H72" s="176">
        <f t="shared" si="5"/>
        <v>34368</v>
      </c>
    </row>
    <row r="73" spans="1:8" x14ac:dyDescent="0.3">
      <c r="A73" s="60">
        <v>47</v>
      </c>
      <c r="B73" s="264">
        <v>61363</v>
      </c>
      <c r="C73" s="176">
        <f t="shared" si="0"/>
        <v>6978872</v>
      </c>
      <c r="D73" s="176">
        <f t="shared" si="3"/>
        <v>1450945</v>
      </c>
      <c r="E73" s="176">
        <f t="shared" si="6"/>
        <v>5527927</v>
      </c>
      <c r="F73" s="176">
        <f t="shared" si="7"/>
        <v>18654495</v>
      </c>
      <c r="G73" s="176">
        <f t="shared" si="4"/>
        <v>13359</v>
      </c>
      <c r="H73" s="176">
        <f t="shared" si="5"/>
        <v>21009</v>
      </c>
    </row>
    <row r="74" spans="1:8" x14ac:dyDescent="0.3">
      <c r="A74" s="60">
        <v>48</v>
      </c>
      <c r="B74" s="264">
        <v>61729</v>
      </c>
      <c r="C74" s="176">
        <f t="shared" si="0"/>
        <v>6978872</v>
      </c>
      <c r="D74" s="176">
        <f t="shared" si="3"/>
        <v>1119270</v>
      </c>
      <c r="E74" s="176">
        <f t="shared" si="6"/>
        <v>5859602</v>
      </c>
      <c r="F74" s="176">
        <f t="shared" si="7"/>
        <v>12794893</v>
      </c>
      <c r="G74" s="176">
        <f t="shared" si="4"/>
        <v>10305</v>
      </c>
      <c r="H74" s="176">
        <f t="shared" si="5"/>
        <v>10704</v>
      </c>
    </row>
    <row r="75" spans="1:8" x14ac:dyDescent="0.3">
      <c r="A75" s="60">
        <v>49</v>
      </c>
      <c r="B75" s="264">
        <v>62094</v>
      </c>
      <c r="C75" s="176">
        <f t="shared" si="0"/>
        <v>6978872</v>
      </c>
      <c r="D75" s="176">
        <f t="shared" si="3"/>
        <v>767694</v>
      </c>
      <c r="E75" s="176">
        <f t="shared" si="6"/>
        <v>6211178</v>
      </c>
      <c r="F75" s="176">
        <f t="shared" si="7"/>
        <v>6583715</v>
      </c>
      <c r="G75" s="176">
        <f t="shared" si="4"/>
        <v>7068</v>
      </c>
      <c r="H75" s="176">
        <f t="shared" si="5"/>
        <v>3636</v>
      </c>
    </row>
    <row r="76" spans="1:8" x14ac:dyDescent="0.3">
      <c r="A76" s="60">
        <v>50</v>
      </c>
      <c r="B76" s="266">
        <v>62459</v>
      </c>
      <c r="C76" s="180">
        <f>+C75-134</f>
        <v>6978738</v>
      </c>
      <c r="D76" s="180">
        <f t="shared" si="3"/>
        <v>395023</v>
      </c>
      <c r="E76" s="180">
        <f t="shared" si="6"/>
        <v>6583715</v>
      </c>
      <c r="F76" s="180">
        <f t="shared" si="7"/>
        <v>0</v>
      </c>
      <c r="G76" s="180">
        <f>ROUND(+F75*$G$25,0)-1</f>
        <v>3636</v>
      </c>
      <c r="H76" s="180">
        <f t="shared" si="5"/>
        <v>0</v>
      </c>
    </row>
    <row r="77" spans="1:8" x14ac:dyDescent="0.3">
      <c r="C77" s="642" t="s">
        <v>752</v>
      </c>
      <c r="G77" s="642" t="s">
        <v>752</v>
      </c>
    </row>
  </sheetData>
  <mergeCells count="3">
    <mergeCell ref="B24:B25"/>
    <mergeCell ref="E24:E25"/>
    <mergeCell ref="B23:H23"/>
  </mergeCells>
  <pageMargins left="0.7" right="0.7" top="0.75" bottom="0.75" header="0.3" footer="0.3"/>
  <pageSetup orientation="landscape" horizontalDpi="4294967295" verticalDpi="4294967295" r:id="rId1"/>
  <ignoredErrors>
    <ignoredError sqref="G27:G76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8"/>
  <sheetViews>
    <sheetView workbookViewId="0"/>
  </sheetViews>
  <sheetFormatPr defaultColWidth="9" defaultRowHeight="15.75" x14ac:dyDescent="0.25"/>
  <cols>
    <col min="1" max="1" width="4.140625" style="429" customWidth="1"/>
    <col min="2" max="2" width="12.42578125" style="429" customWidth="1"/>
    <col min="3" max="3" width="14" style="429" customWidth="1"/>
    <col min="4" max="4" width="14.140625" style="429" customWidth="1"/>
    <col min="5" max="5" width="13.7109375" style="429" customWidth="1"/>
    <col min="6" max="6" width="16.140625" style="432" customWidth="1"/>
    <col min="7" max="7" width="7.28515625" style="429" customWidth="1"/>
    <col min="8" max="8" width="11.7109375" style="429" customWidth="1"/>
    <col min="9" max="12" width="14" style="429" customWidth="1"/>
    <col min="13" max="13" width="2.140625" style="429" customWidth="1"/>
    <col min="14" max="14" width="14.5703125" style="429" customWidth="1"/>
    <col min="15" max="15" width="13.7109375" style="429" customWidth="1"/>
    <col min="16" max="16" width="2.28515625" style="429" customWidth="1"/>
    <col min="17" max="17" width="16.28515625" style="386" bestFit="1" customWidth="1"/>
    <col min="18" max="18" width="13.28515625" style="429" customWidth="1"/>
    <col min="19" max="16384" width="9" style="429"/>
  </cols>
  <sheetData>
    <row r="1" spans="1:16" x14ac:dyDescent="0.25">
      <c r="A1" s="387" t="s">
        <v>464</v>
      </c>
      <c r="F1" s="430"/>
      <c r="G1" s="390"/>
      <c r="H1" s="390"/>
    </row>
    <row r="3" spans="1:16" x14ac:dyDescent="0.25">
      <c r="A3" s="431" t="s">
        <v>475</v>
      </c>
    </row>
    <row r="4" spans="1:16" x14ac:dyDescent="0.25">
      <c r="A4" s="431"/>
    </row>
    <row r="5" spans="1:16" x14ac:dyDescent="0.25">
      <c r="A5" s="431"/>
    </row>
    <row r="6" spans="1:16" x14ac:dyDescent="0.25">
      <c r="A6" s="431"/>
      <c r="B6" s="429" t="s">
        <v>474</v>
      </c>
      <c r="C6" s="643">
        <f>+'Example 5 Assumptions Summary '!D6</f>
        <v>72000000</v>
      </c>
      <c r="D6" s="660">
        <f>+'Example 5 Assumptions Summary '!D7</f>
        <v>0.8</v>
      </c>
      <c r="E6" s="475"/>
      <c r="F6" s="644"/>
      <c r="G6" s="475"/>
      <c r="H6" s="663" t="s">
        <v>759</v>
      </c>
      <c r="I6" s="475"/>
      <c r="J6" s="475"/>
    </row>
    <row r="7" spans="1:16" x14ac:dyDescent="0.25">
      <c r="A7" s="431"/>
      <c r="B7" s="429" t="s">
        <v>468</v>
      </c>
      <c r="C7" s="645">
        <f>+'Example 5 Assumptions Summary '!D5-C6</f>
        <v>18000000</v>
      </c>
      <c r="D7" s="660">
        <f>+'Example 5 Assumptions Summary '!D8</f>
        <v>0.19999999999999996</v>
      </c>
      <c r="E7" s="475"/>
      <c r="F7" s="644"/>
      <c r="G7" s="475"/>
      <c r="H7" s="664" t="s">
        <v>758</v>
      </c>
      <c r="I7" s="475"/>
      <c r="J7" s="475"/>
    </row>
    <row r="8" spans="1:16" ht="16.5" thickBot="1" x14ac:dyDescent="0.3">
      <c r="A8" s="431"/>
      <c r="C8" s="434">
        <f>SUM(C6:C7)</f>
        <v>90000000</v>
      </c>
    </row>
    <row r="9" spans="1:16" ht="16.5" thickTop="1" x14ac:dyDescent="0.25">
      <c r="A9" s="431"/>
      <c r="I9" s="436"/>
      <c r="J9" s="436"/>
      <c r="K9" s="436"/>
    </row>
    <row r="10" spans="1:16" ht="14.25" customHeight="1" x14ac:dyDescent="0.25">
      <c r="B10" s="785" t="s">
        <v>471</v>
      </c>
      <c r="C10" s="785"/>
      <c r="D10" s="785"/>
      <c r="E10" s="785"/>
      <c r="F10" s="785"/>
      <c r="G10" s="437"/>
      <c r="H10" s="437"/>
      <c r="I10" s="415"/>
      <c r="J10" s="415"/>
      <c r="K10" s="415"/>
      <c r="L10" s="438"/>
      <c r="M10" s="438"/>
      <c r="N10" s="438"/>
      <c r="O10" s="438"/>
      <c r="P10" s="438"/>
    </row>
    <row r="11" spans="1:16" ht="14.25" customHeight="1" x14ac:dyDescent="0.25">
      <c r="B11" s="415"/>
      <c r="C11" s="415"/>
      <c r="D11" s="439" t="s">
        <v>129</v>
      </c>
      <c r="E11" s="439" t="s">
        <v>468</v>
      </c>
      <c r="F11" s="440" t="s">
        <v>467</v>
      </c>
      <c r="G11" s="437"/>
      <c r="I11" s="506"/>
      <c r="J11" s="441"/>
      <c r="K11" s="441"/>
      <c r="L11" s="442"/>
      <c r="M11" s="438"/>
      <c r="N11" s="442"/>
      <c r="O11" s="442"/>
      <c r="P11" s="442"/>
    </row>
    <row r="12" spans="1:16" ht="14.25" customHeight="1" x14ac:dyDescent="0.25">
      <c r="B12" s="415"/>
      <c r="C12" s="415"/>
      <c r="D12" s="415"/>
      <c r="E12" s="662">
        <f>+D6</f>
        <v>0.8</v>
      </c>
      <c r="F12" s="662">
        <f>+D7</f>
        <v>0.19999999999999996</v>
      </c>
      <c r="G12" s="437"/>
      <c r="I12" s="506"/>
      <c r="J12" s="441"/>
      <c r="K12" s="441"/>
      <c r="L12" s="442"/>
      <c r="M12" s="438"/>
      <c r="N12" s="442"/>
      <c r="O12" s="442"/>
      <c r="P12" s="442"/>
    </row>
    <row r="13" spans="1:16" x14ac:dyDescent="0.25">
      <c r="B13" s="443" t="s">
        <v>483</v>
      </c>
      <c r="C13" s="443"/>
      <c r="D13" s="443">
        <v>7000000</v>
      </c>
      <c r="E13" s="437">
        <f>+D13*E12</f>
        <v>5600000</v>
      </c>
      <c r="F13" s="437">
        <f>+D13*F12</f>
        <v>1399999.9999999998</v>
      </c>
      <c r="G13" s="437"/>
      <c r="H13" s="437"/>
      <c r="I13" s="443"/>
      <c r="J13" s="444"/>
      <c r="K13" s="444"/>
      <c r="L13" s="443"/>
      <c r="M13" s="436"/>
      <c r="N13" s="443"/>
      <c r="O13" s="436"/>
      <c r="P13" s="436"/>
    </row>
    <row r="14" spans="1:16" x14ac:dyDescent="0.25">
      <c r="B14" s="443" t="s">
        <v>466</v>
      </c>
      <c r="C14" s="444"/>
      <c r="D14" s="444">
        <v>50</v>
      </c>
      <c r="E14" s="444"/>
      <c r="F14" s="444"/>
      <c r="G14" s="437"/>
      <c r="H14" s="437"/>
      <c r="I14" s="444"/>
      <c r="J14" s="444"/>
      <c r="K14" s="444"/>
      <c r="L14" s="436"/>
      <c r="M14" s="436"/>
      <c r="N14" s="445"/>
      <c r="O14" s="436"/>
      <c r="P14" s="436"/>
    </row>
    <row r="15" spans="1:16" x14ac:dyDescent="0.25">
      <c r="B15" s="443" t="s">
        <v>757</v>
      </c>
      <c r="C15" s="446"/>
      <c r="D15" s="446">
        <v>7.5758910122235568E-2</v>
      </c>
      <c r="E15" s="446"/>
      <c r="F15" s="446"/>
      <c r="G15" s="437"/>
      <c r="H15" s="437"/>
      <c r="I15" s="447"/>
      <c r="J15" s="444"/>
      <c r="K15" s="444"/>
      <c r="L15" s="436"/>
      <c r="N15" s="448"/>
      <c r="O15" s="436"/>
      <c r="P15" s="436"/>
    </row>
    <row r="16" spans="1:16" x14ac:dyDescent="0.25">
      <c r="B16" s="443" t="s">
        <v>473</v>
      </c>
      <c r="C16" s="449"/>
      <c r="D16" s="449">
        <f>ROUND(-PV(D15,D14,D13),0)</f>
        <v>90000000</v>
      </c>
      <c r="E16" s="449">
        <f>+D16*E12</f>
        <v>72000000</v>
      </c>
      <c r="F16" s="449">
        <f>+D16*F12</f>
        <v>17999999.999999996</v>
      </c>
      <c r="G16" s="450"/>
      <c r="H16" s="450"/>
      <c r="I16" s="451"/>
      <c r="J16" s="449"/>
      <c r="K16" s="444"/>
      <c r="L16" s="436"/>
      <c r="N16" s="392"/>
      <c r="O16" s="436"/>
      <c r="P16" s="436"/>
    </row>
    <row r="17" spans="1:17" x14ac:dyDescent="0.25">
      <c r="B17" s="436"/>
      <c r="C17" s="436"/>
      <c r="D17" s="436"/>
      <c r="E17" s="444"/>
      <c r="F17" s="437"/>
      <c r="G17" s="437"/>
      <c r="H17" s="437"/>
    </row>
    <row r="18" spans="1:17" x14ac:dyDescent="0.25">
      <c r="B18" s="436"/>
      <c r="C18" s="436"/>
      <c r="D18" s="436"/>
      <c r="E18" s="436"/>
      <c r="F18" s="454"/>
      <c r="G18" s="436"/>
      <c r="H18" s="436"/>
      <c r="I18" s="436"/>
      <c r="J18" s="436"/>
      <c r="K18" s="436"/>
      <c r="L18" s="436"/>
      <c r="M18" s="436"/>
      <c r="O18" s="455">
        <f>ROUND(SUM(O24:O74)-O22,0)</f>
        <v>0</v>
      </c>
      <c r="P18" s="441"/>
    </row>
    <row r="19" spans="1:17" ht="19.5" customHeight="1" x14ac:dyDescent="0.25">
      <c r="B19" s="851" t="s">
        <v>144</v>
      </c>
      <c r="C19" s="852"/>
      <c r="D19" s="852"/>
      <c r="E19" s="852"/>
      <c r="F19" s="853"/>
      <c r="G19" s="457"/>
      <c r="H19" s="851" t="s">
        <v>472</v>
      </c>
      <c r="I19" s="852"/>
      <c r="J19" s="852"/>
      <c r="K19" s="852"/>
      <c r="L19" s="853"/>
      <c r="M19" s="436"/>
      <c r="N19" s="844" t="s">
        <v>618</v>
      </c>
      <c r="O19" s="845"/>
      <c r="P19" s="436"/>
    </row>
    <row r="20" spans="1:17" s="423" customFormat="1" ht="15.4" customHeight="1" x14ac:dyDescent="0.25">
      <c r="B20" s="854"/>
      <c r="C20" s="855"/>
      <c r="D20" s="855"/>
      <c r="E20" s="855"/>
      <c r="F20" s="856"/>
      <c r="G20" s="457"/>
      <c r="H20" s="854"/>
      <c r="I20" s="855"/>
      <c r="J20" s="855"/>
      <c r="K20" s="855"/>
      <c r="L20" s="856"/>
      <c r="M20" s="441"/>
      <c r="N20" s="846"/>
      <c r="O20" s="847"/>
      <c r="Q20" s="386"/>
    </row>
    <row r="21" spans="1:17" s="423" customFormat="1" ht="59.65" customHeight="1" x14ac:dyDescent="0.25">
      <c r="B21" s="792" t="s">
        <v>7</v>
      </c>
      <c r="C21" s="636" t="s">
        <v>826</v>
      </c>
      <c r="D21" s="636" t="s">
        <v>748</v>
      </c>
      <c r="E21" s="636" t="s">
        <v>753</v>
      </c>
      <c r="F21" s="649" t="s">
        <v>754</v>
      </c>
      <c r="G21" s="459"/>
      <c r="H21" s="792" t="s">
        <v>7</v>
      </c>
      <c r="I21" s="651" t="s">
        <v>617</v>
      </c>
      <c r="J21" s="651" t="s">
        <v>748</v>
      </c>
      <c r="K21" s="652" t="s">
        <v>34</v>
      </c>
      <c r="L21" s="651" t="s">
        <v>750</v>
      </c>
      <c r="M21" s="441"/>
      <c r="N21" s="848"/>
      <c r="O21" s="849"/>
      <c r="P21" s="441"/>
    </row>
    <row r="22" spans="1:17" s="423" customFormat="1" ht="15.75" customHeight="1" x14ac:dyDescent="0.25">
      <c r="B22" s="850"/>
      <c r="C22" s="647"/>
      <c r="D22" s="637"/>
      <c r="E22" s="637"/>
      <c r="F22" s="650"/>
      <c r="G22" s="459"/>
      <c r="H22" s="850"/>
      <c r="I22" s="653"/>
      <c r="J22" s="653"/>
      <c r="K22" s="654"/>
      <c r="L22" s="653"/>
      <c r="M22" s="441"/>
      <c r="N22" s="460" t="s">
        <v>129</v>
      </c>
      <c r="O22" s="460">
        <f>+E16</f>
        <v>72000000</v>
      </c>
      <c r="P22" s="441"/>
    </row>
    <row r="23" spans="1:17" s="423" customFormat="1" ht="14.25" customHeight="1" x14ac:dyDescent="0.25">
      <c r="B23" s="793"/>
      <c r="C23" s="461">
        <f>+E13</f>
        <v>5600000</v>
      </c>
      <c r="D23" s="646">
        <f>+D15</f>
        <v>7.5758910122235568E-2</v>
      </c>
      <c r="E23" s="648"/>
      <c r="F23" s="462">
        <f>+E16</f>
        <v>72000000</v>
      </c>
      <c r="G23" s="459"/>
      <c r="H23" s="793"/>
      <c r="I23" s="655">
        <f>+F13</f>
        <v>1399999.9999999998</v>
      </c>
      <c r="J23" s="661">
        <f>+D15</f>
        <v>7.5758910122235568E-2</v>
      </c>
      <c r="K23" s="656"/>
      <c r="L23" s="655">
        <f>+C7</f>
        <v>18000000</v>
      </c>
      <c r="M23" s="441"/>
      <c r="N23" s="463" t="s">
        <v>128</v>
      </c>
      <c r="O23" s="464">
        <f>+D14</f>
        <v>50</v>
      </c>
      <c r="P23" s="441"/>
    </row>
    <row r="24" spans="1:17" x14ac:dyDescent="0.25">
      <c r="B24" s="465"/>
      <c r="C24" s="465"/>
      <c r="D24" s="465"/>
      <c r="E24" s="467"/>
      <c r="F24" s="465"/>
      <c r="G24" s="444"/>
      <c r="H24" s="465"/>
      <c r="I24" s="657"/>
      <c r="J24" s="657"/>
      <c r="K24" s="658"/>
      <c r="L24" s="657"/>
      <c r="M24" s="436"/>
      <c r="N24" s="470" t="s">
        <v>102</v>
      </c>
      <c r="O24" s="471">
        <f>ROUND(+$O$22/$O$23/2,0)</f>
        <v>720000</v>
      </c>
      <c r="P24" s="436"/>
    </row>
    <row r="25" spans="1:17" x14ac:dyDescent="0.25">
      <c r="A25" s="429">
        <v>1</v>
      </c>
      <c r="B25" s="472">
        <v>44561</v>
      </c>
      <c r="C25" s="465">
        <f>+C23</f>
        <v>5600000</v>
      </c>
      <c r="D25" s="465">
        <f>ROUND(+F23*D23,0)</f>
        <v>5454642</v>
      </c>
      <c r="E25" s="471">
        <f>+C25-D25</f>
        <v>145358</v>
      </c>
      <c r="F25" s="471">
        <f>+F23-E25</f>
        <v>71854642</v>
      </c>
      <c r="G25" s="454"/>
      <c r="H25" s="472">
        <v>44561</v>
      </c>
      <c r="I25" s="659">
        <f>+I23</f>
        <v>1399999.9999999998</v>
      </c>
      <c r="J25" s="657">
        <f>ROUND(+L23*J23,0)</f>
        <v>1363660</v>
      </c>
      <c r="K25" s="659">
        <f>+I25-J25</f>
        <v>36339.999999999767</v>
      </c>
      <c r="L25" s="659">
        <f>+L23-K25</f>
        <v>17963660</v>
      </c>
      <c r="M25" s="436"/>
      <c r="N25" s="470">
        <v>2022</v>
      </c>
      <c r="O25" s="471">
        <f t="shared" ref="O25:O56" si="0">+$O$22/$O$23</f>
        <v>1440000</v>
      </c>
      <c r="P25" s="436"/>
    </row>
    <row r="26" spans="1:17" x14ac:dyDescent="0.25">
      <c r="A26" s="429">
        <v>2</v>
      </c>
      <c r="B26" s="472">
        <v>44926</v>
      </c>
      <c r="C26" s="471">
        <f>+C25</f>
        <v>5600000</v>
      </c>
      <c r="D26" s="471">
        <f>ROUND(+F25*$D$23,0)</f>
        <v>5443629</v>
      </c>
      <c r="E26" s="471">
        <f>+C26-D26</f>
        <v>156371</v>
      </c>
      <c r="F26" s="471">
        <f>+F25-E26</f>
        <v>71698271</v>
      </c>
      <c r="G26" s="454"/>
      <c r="H26" s="472">
        <v>44926</v>
      </c>
      <c r="I26" s="659">
        <f>+I25</f>
        <v>1399999.9999999998</v>
      </c>
      <c r="J26" s="659">
        <f>ROUND(+L25*$D$23,0)</f>
        <v>1360907</v>
      </c>
      <c r="K26" s="659">
        <f>+I26-J26</f>
        <v>39092.999999999767</v>
      </c>
      <c r="L26" s="659">
        <f>+L25-K26</f>
        <v>17924567</v>
      </c>
      <c r="M26" s="436"/>
      <c r="N26" s="470">
        <v>2023</v>
      </c>
      <c r="O26" s="471">
        <f t="shared" si="0"/>
        <v>1440000</v>
      </c>
      <c r="P26" s="436"/>
    </row>
    <row r="27" spans="1:17" x14ac:dyDescent="0.25">
      <c r="A27" s="429">
        <v>3</v>
      </c>
      <c r="B27" s="472">
        <v>45291</v>
      </c>
      <c r="C27" s="471">
        <f t="shared" ref="C27:C73" si="1">+C26</f>
        <v>5600000</v>
      </c>
      <c r="D27" s="471">
        <f t="shared" ref="D27:D74" si="2">ROUND(+F26*$D$23,0)</f>
        <v>5431783</v>
      </c>
      <c r="E27" s="471">
        <f t="shared" ref="E27:E74" si="3">+C27-D27</f>
        <v>168217</v>
      </c>
      <c r="F27" s="471">
        <f t="shared" ref="F27:F73" si="4">+F26-E27</f>
        <v>71530054</v>
      </c>
      <c r="G27" s="454"/>
      <c r="H27" s="472">
        <v>45291</v>
      </c>
      <c r="I27" s="659">
        <f t="shared" ref="I27:I73" si="5">+I26</f>
        <v>1399999.9999999998</v>
      </c>
      <c r="J27" s="659">
        <f t="shared" ref="J27:J74" si="6">ROUND(+L26*$D$23,0)</f>
        <v>1357946</v>
      </c>
      <c r="K27" s="659">
        <f t="shared" ref="K27:K74" si="7">+I27-J27</f>
        <v>42053.999999999767</v>
      </c>
      <c r="L27" s="659">
        <f t="shared" ref="L27:L74" si="8">+L26-K27</f>
        <v>17882513</v>
      </c>
      <c r="M27" s="436"/>
      <c r="N27" s="470">
        <v>2024</v>
      </c>
      <c r="O27" s="471">
        <f t="shared" si="0"/>
        <v>1440000</v>
      </c>
      <c r="P27" s="436"/>
    </row>
    <row r="28" spans="1:17" x14ac:dyDescent="0.25">
      <c r="A28" s="429">
        <v>4</v>
      </c>
      <c r="B28" s="472">
        <v>45657</v>
      </c>
      <c r="C28" s="471">
        <f t="shared" si="1"/>
        <v>5600000</v>
      </c>
      <c r="D28" s="471">
        <f t="shared" si="2"/>
        <v>5419039</v>
      </c>
      <c r="E28" s="471">
        <f t="shared" si="3"/>
        <v>180961</v>
      </c>
      <c r="F28" s="471">
        <f t="shared" si="4"/>
        <v>71349093</v>
      </c>
      <c r="G28" s="454"/>
      <c r="H28" s="472">
        <v>45657</v>
      </c>
      <c r="I28" s="659">
        <f t="shared" si="5"/>
        <v>1399999.9999999998</v>
      </c>
      <c r="J28" s="659">
        <f t="shared" si="6"/>
        <v>1354760</v>
      </c>
      <c r="K28" s="659">
        <f t="shared" si="7"/>
        <v>45239.999999999767</v>
      </c>
      <c r="L28" s="659">
        <f t="shared" si="8"/>
        <v>17837273</v>
      </c>
      <c r="M28" s="436"/>
      <c r="N28" s="470">
        <v>2025</v>
      </c>
      <c r="O28" s="471">
        <f t="shared" si="0"/>
        <v>1440000</v>
      </c>
      <c r="P28" s="436"/>
    </row>
    <row r="29" spans="1:17" x14ac:dyDescent="0.25">
      <c r="A29" s="429">
        <v>5</v>
      </c>
      <c r="B29" s="472">
        <v>46022</v>
      </c>
      <c r="C29" s="471">
        <f t="shared" si="1"/>
        <v>5600000</v>
      </c>
      <c r="D29" s="471">
        <f t="shared" si="2"/>
        <v>5405330</v>
      </c>
      <c r="E29" s="471">
        <f t="shared" si="3"/>
        <v>194670</v>
      </c>
      <c r="F29" s="471">
        <f t="shared" si="4"/>
        <v>71154423</v>
      </c>
      <c r="G29" s="454"/>
      <c r="H29" s="472">
        <v>46022</v>
      </c>
      <c r="I29" s="471">
        <f t="shared" si="5"/>
        <v>1399999.9999999998</v>
      </c>
      <c r="J29" s="471">
        <f t="shared" si="6"/>
        <v>1351332</v>
      </c>
      <c r="K29" s="471">
        <f t="shared" si="7"/>
        <v>48667.999999999767</v>
      </c>
      <c r="L29" s="471">
        <f t="shared" si="8"/>
        <v>17788605</v>
      </c>
      <c r="M29" s="436"/>
      <c r="N29" s="470">
        <v>2026</v>
      </c>
      <c r="O29" s="471">
        <f t="shared" si="0"/>
        <v>1440000</v>
      </c>
      <c r="P29" s="436"/>
    </row>
    <row r="30" spans="1:17" x14ac:dyDescent="0.25">
      <c r="A30" s="429">
        <v>6</v>
      </c>
      <c r="B30" s="472">
        <v>46387</v>
      </c>
      <c r="C30" s="471">
        <f t="shared" si="1"/>
        <v>5600000</v>
      </c>
      <c r="D30" s="471">
        <f t="shared" si="2"/>
        <v>5390582</v>
      </c>
      <c r="E30" s="471">
        <f t="shared" si="3"/>
        <v>209418</v>
      </c>
      <c r="F30" s="471">
        <f t="shared" si="4"/>
        <v>70945005</v>
      </c>
      <c r="G30" s="454"/>
      <c r="H30" s="472">
        <v>46387</v>
      </c>
      <c r="I30" s="471">
        <f t="shared" si="5"/>
        <v>1399999.9999999998</v>
      </c>
      <c r="J30" s="471">
        <f t="shared" si="6"/>
        <v>1347645</v>
      </c>
      <c r="K30" s="471">
        <f t="shared" si="7"/>
        <v>52354.999999999767</v>
      </c>
      <c r="L30" s="471">
        <f t="shared" si="8"/>
        <v>17736250</v>
      </c>
      <c r="M30" s="436"/>
      <c r="N30" s="470">
        <v>2027</v>
      </c>
      <c r="O30" s="471">
        <f t="shared" si="0"/>
        <v>1440000</v>
      </c>
      <c r="P30" s="436"/>
    </row>
    <row r="31" spans="1:17" x14ac:dyDescent="0.25">
      <c r="A31" s="429">
        <v>7</v>
      </c>
      <c r="B31" s="472">
        <v>46752</v>
      </c>
      <c r="C31" s="471">
        <f t="shared" si="1"/>
        <v>5600000</v>
      </c>
      <c r="D31" s="471">
        <f t="shared" si="2"/>
        <v>5374716</v>
      </c>
      <c r="E31" s="471">
        <f t="shared" si="3"/>
        <v>225284</v>
      </c>
      <c r="F31" s="471">
        <f t="shared" si="4"/>
        <v>70719721</v>
      </c>
      <c r="G31" s="454"/>
      <c r="H31" s="472">
        <v>46752</v>
      </c>
      <c r="I31" s="471">
        <f t="shared" si="5"/>
        <v>1399999.9999999998</v>
      </c>
      <c r="J31" s="471">
        <f t="shared" si="6"/>
        <v>1343679</v>
      </c>
      <c r="K31" s="471">
        <f t="shared" si="7"/>
        <v>56320.999999999767</v>
      </c>
      <c r="L31" s="471">
        <f t="shared" si="8"/>
        <v>17679929</v>
      </c>
      <c r="M31" s="436"/>
      <c r="N31" s="470">
        <v>2028</v>
      </c>
      <c r="O31" s="471">
        <f t="shared" si="0"/>
        <v>1440000</v>
      </c>
      <c r="P31" s="436"/>
    </row>
    <row r="32" spans="1:17" x14ac:dyDescent="0.25">
      <c r="A32" s="429">
        <v>8</v>
      </c>
      <c r="B32" s="472">
        <v>47118</v>
      </c>
      <c r="C32" s="471">
        <f t="shared" si="1"/>
        <v>5600000</v>
      </c>
      <c r="D32" s="471">
        <f t="shared" si="2"/>
        <v>5357649</v>
      </c>
      <c r="E32" s="471">
        <f t="shared" si="3"/>
        <v>242351</v>
      </c>
      <c r="F32" s="471">
        <f t="shared" si="4"/>
        <v>70477370</v>
      </c>
      <c r="G32" s="454"/>
      <c r="H32" s="472">
        <v>47118</v>
      </c>
      <c r="I32" s="471">
        <f t="shared" si="5"/>
        <v>1399999.9999999998</v>
      </c>
      <c r="J32" s="471">
        <f t="shared" si="6"/>
        <v>1339412</v>
      </c>
      <c r="K32" s="471">
        <f t="shared" si="7"/>
        <v>60587.999999999767</v>
      </c>
      <c r="L32" s="471">
        <f t="shared" si="8"/>
        <v>17619341</v>
      </c>
      <c r="M32" s="436"/>
      <c r="N32" s="470">
        <v>2029</v>
      </c>
      <c r="O32" s="471">
        <f t="shared" si="0"/>
        <v>1440000</v>
      </c>
      <c r="P32" s="436"/>
    </row>
    <row r="33" spans="1:17" x14ac:dyDescent="0.25">
      <c r="A33" s="429">
        <v>9</v>
      </c>
      <c r="B33" s="472">
        <v>47483</v>
      </c>
      <c r="C33" s="471">
        <f t="shared" si="1"/>
        <v>5600000</v>
      </c>
      <c r="D33" s="471">
        <f t="shared" si="2"/>
        <v>5339289</v>
      </c>
      <c r="E33" s="471">
        <f t="shared" si="3"/>
        <v>260711</v>
      </c>
      <c r="F33" s="471">
        <f t="shared" si="4"/>
        <v>70216659</v>
      </c>
      <c r="G33" s="454"/>
      <c r="H33" s="472">
        <v>47483</v>
      </c>
      <c r="I33" s="471">
        <f t="shared" si="5"/>
        <v>1399999.9999999998</v>
      </c>
      <c r="J33" s="471">
        <f t="shared" si="6"/>
        <v>1334822</v>
      </c>
      <c r="K33" s="471">
        <f t="shared" si="7"/>
        <v>65177.999999999767</v>
      </c>
      <c r="L33" s="471">
        <f t="shared" si="8"/>
        <v>17554163</v>
      </c>
      <c r="M33" s="436"/>
      <c r="N33" s="470">
        <v>2030</v>
      </c>
      <c r="O33" s="471">
        <f t="shared" si="0"/>
        <v>1440000</v>
      </c>
      <c r="P33" s="436"/>
    </row>
    <row r="34" spans="1:17" x14ac:dyDescent="0.25">
      <c r="A34" s="429">
        <v>10</v>
      </c>
      <c r="B34" s="472">
        <v>47848</v>
      </c>
      <c r="C34" s="471">
        <f t="shared" si="1"/>
        <v>5600000</v>
      </c>
      <c r="D34" s="471">
        <f t="shared" si="2"/>
        <v>5319538</v>
      </c>
      <c r="E34" s="471">
        <f t="shared" si="3"/>
        <v>280462</v>
      </c>
      <c r="F34" s="471">
        <f t="shared" si="4"/>
        <v>69936197</v>
      </c>
      <c r="G34" s="454"/>
      <c r="H34" s="472">
        <v>47848</v>
      </c>
      <c r="I34" s="471">
        <f t="shared" si="5"/>
        <v>1399999.9999999998</v>
      </c>
      <c r="J34" s="471">
        <f t="shared" si="6"/>
        <v>1329884</v>
      </c>
      <c r="K34" s="471">
        <f t="shared" si="7"/>
        <v>70115.999999999767</v>
      </c>
      <c r="L34" s="471">
        <f t="shared" si="8"/>
        <v>17484047</v>
      </c>
      <c r="M34" s="436"/>
      <c r="N34" s="470">
        <v>2031</v>
      </c>
      <c r="O34" s="471">
        <f t="shared" si="0"/>
        <v>1440000</v>
      </c>
      <c r="P34" s="436"/>
    </row>
    <row r="35" spans="1:17" x14ac:dyDescent="0.25">
      <c r="A35" s="429">
        <v>11</v>
      </c>
      <c r="B35" s="472">
        <v>48213</v>
      </c>
      <c r="C35" s="471">
        <f>+C34</f>
        <v>5600000</v>
      </c>
      <c r="D35" s="471">
        <f t="shared" si="2"/>
        <v>5298290</v>
      </c>
      <c r="E35" s="471">
        <f t="shared" si="3"/>
        <v>301710</v>
      </c>
      <c r="F35" s="471">
        <f t="shared" si="4"/>
        <v>69634487</v>
      </c>
      <c r="G35" s="454"/>
      <c r="H35" s="472">
        <v>48213</v>
      </c>
      <c r="I35" s="471">
        <f t="shared" si="5"/>
        <v>1399999.9999999998</v>
      </c>
      <c r="J35" s="471">
        <f t="shared" si="6"/>
        <v>1324572</v>
      </c>
      <c r="K35" s="471">
        <f t="shared" si="7"/>
        <v>75427.999999999767</v>
      </c>
      <c r="L35" s="471">
        <f t="shared" si="8"/>
        <v>17408619</v>
      </c>
      <c r="M35" s="436"/>
      <c r="N35" s="470">
        <v>2032</v>
      </c>
      <c r="O35" s="471">
        <f t="shared" si="0"/>
        <v>1440000</v>
      </c>
      <c r="P35" s="436"/>
    </row>
    <row r="36" spans="1:17" x14ac:dyDescent="0.25">
      <c r="A36" s="429">
        <v>12</v>
      </c>
      <c r="B36" s="472">
        <v>48579</v>
      </c>
      <c r="C36" s="471">
        <f t="shared" si="1"/>
        <v>5600000</v>
      </c>
      <c r="D36" s="471">
        <f t="shared" si="2"/>
        <v>5275433</v>
      </c>
      <c r="E36" s="471">
        <f t="shared" si="3"/>
        <v>324567</v>
      </c>
      <c r="F36" s="471">
        <f t="shared" si="4"/>
        <v>69309920</v>
      </c>
      <c r="G36" s="454"/>
      <c r="H36" s="472">
        <v>48579</v>
      </c>
      <c r="I36" s="471">
        <f t="shared" si="5"/>
        <v>1399999.9999999998</v>
      </c>
      <c r="J36" s="471">
        <f t="shared" si="6"/>
        <v>1318858</v>
      </c>
      <c r="K36" s="471">
        <f t="shared" si="7"/>
        <v>81141.999999999767</v>
      </c>
      <c r="L36" s="471">
        <f t="shared" si="8"/>
        <v>17327477</v>
      </c>
      <c r="M36" s="436"/>
      <c r="N36" s="470">
        <v>2033</v>
      </c>
      <c r="O36" s="474">
        <f t="shared" si="0"/>
        <v>1440000</v>
      </c>
      <c r="P36" s="436"/>
    </row>
    <row r="37" spans="1:17" s="475" customFormat="1" x14ac:dyDescent="0.25">
      <c r="A37" s="429">
        <v>13</v>
      </c>
      <c r="B37" s="472">
        <v>48944</v>
      </c>
      <c r="C37" s="471">
        <f t="shared" si="1"/>
        <v>5600000</v>
      </c>
      <c r="D37" s="471">
        <f t="shared" si="2"/>
        <v>5250844</v>
      </c>
      <c r="E37" s="471">
        <f t="shared" si="3"/>
        <v>349156</v>
      </c>
      <c r="F37" s="471">
        <f t="shared" si="4"/>
        <v>68960764</v>
      </c>
      <c r="G37" s="449"/>
      <c r="H37" s="472">
        <v>48944</v>
      </c>
      <c r="I37" s="471">
        <f t="shared" si="5"/>
        <v>1399999.9999999998</v>
      </c>
      <c r="J37" s="471">
        <f t="shared" si="6"/>
        <v>1312711</v>
      </c>
      <c r="K37" s="471">
        <f t="shared" si="7"/>
        <v>87288.999999999767</v>
      </c>
      <c r="L37" s="471">
        <f t="shared" si="8"/>
        <v>17240188</v>
      </c>
      <c r="M37" s="473"/>
      <c r="N37" s="470">
        <v>2034</v>
      </c>
      <c r="O37" s="474">
        <f t="shared" si="0"/>
        <v>1440000</v>
      </c>
      <c r="P37" s="473"/>
      <c r="Q37" s="487"/>
    </row>
    <row r="38" spans="1:17" s="475" customFormat="1" x14ac:dyDescent="0.25">
      <c r="A38" s="429">
        <v>14</v>
      </c>
      <c r="B38" s="472">
        <v>49309</v>
      </c>
      <c r="C38" s="471">
        <f t="shared" si="1"/>
        <v>5600000</v>
      </c>
      <c r="D38" s="471">
        <f t="shared" si="2"/>
        <v>5224392</v>
      </c>
      <c r="E38" s="471">
        <f t="shared" si="3"/>
        <v>375608</v>
      </c>
      <c r="F38" s="471">
        <f t="shared" si="4"/>
        <v>68585156</v>
      </c>
      <c r="G38" s="449"/>
      <c r="H38" s="472">
        <v>49309</v>
      </c>
      <c r="I38" s="471">
        <f t="shared" si="5"/>
        <v>1399999.9999999998</v>
      </c>
      <c r="J38" s="471">
        <f t="shared" si="6"/>
        <v>1306098</v>
      </c>
      <c r="K38" s="471">
        <f t="shared" si="7"/>
        <v>93901.999999999767</v>
      </c>
      <c r="L38" s="471">
        <f t="shared" si="8"/>
        <v>17146286</v>
      </c>
      <c r="M38" s="473"/>
      <c r="N38" s="470">
        <v>2035</v>
      </c>
      <c r="O38" s="474">
        <f t="shared" si="0"/>
        <v>1440000</v>
      </c>
      <c r="P38" s="473"/>
      <c r="Q38" s="487"/>
    </row>
    <row r="39" spans="1:17" s="475" customFormat="1" x14ac:dyDescent="0.25">
      <c r="A39" s="429">
        <v>15</v>
      </c>
      <c r="B39" s="472">
        <v>49674</v>
      </c>
      <c r="C39" s="471">
        <f t="shared" si="1"/>
        <v>5600000</v>
      </c>
      <c r="D39" s="471">
        <f t="shared" si="2"/>
        <v>5195937</v>
      </c>
      <c r="E39" s="471">
        <f t="shared" si="3"/>
        <v>404063</v>
      </c>
      <c r="F39" s="471">
        <f t="shared" si="4"/>
        <v>68181093</v>
      </c>
      <c r="G39" s="449"/>
      <c r="H39" s="472">
        <v>49674</v>
      </c>
      <c r="I39" s="471">
        <f t="shared" si="5"/>
        <v>1399999.9999999998</v>
      </c>
      <c r="J39" s="471">
        <f t="shared" si="6"/>
        <v>1298984</v>
      </c>
      <c r="K39" s="471">
        <f t="shared" si="7"/>
        <v>101015.99999999977</v>
      </c>
      <c r="L39" s="471">
        <f t="shared" si="8"/>
        <v>17045270</v>
      </c>
      <c r="M39" s="473"/>
      <c r="N39" s="470">
        <v>2036</v>
      </c>
      <c r="O39" s="474">
        <f t="shared" si="0"/>
        <v>1440000</v>
      </c>
      <c r="P39" s="473"/>
      <c r="Q39" s="487"/>
    </row>
    <row r="40" spans="1:17" s="475" customFormat="1" x14ac:dyDescent="0.25">
      <c r="A40" s="429">
        <v>16</v>
      </c>
      <c r="B40" s="472">
        <v>50040</v>
      </c>
      <c r="C40" s="471">
        <f t="shared" si="1"/>
        <v>5600000</v>
      </c>
      <c r="D40" s="471">
        <f t="shared" si="2"/>
        <v>5165325</v>
      </c>
      <c r="E40" s="471">
        <f t="shared" si="3"/>
        <v>434675</v>
      </c>
      <c r="F40" s="471">
        <f t="shared" si="4"/>
        <v>67746418</v>
      </c>
      <c r="G40" s="449"/>
      <c r="H40" s="472">
        <v>50040</v>
      </c>
      <c r="I40" s="471">
        <f t="shared" si="5"/>
        <v>1399999.9999999998</v>
      </c>
      <c r="J40" s="471">
        <f t="shared" si="6"/>
        <v>1291331</v>
      </c>
      <c r="K40" s="471">
        <f t="shared" si="7"/>
        <v>108668.99999999977</v>
      </c>
      <c r="L40" s="471">
        <f t="shared" si="8"/>
        <v>16936601</v>
      </c>
      <c r="M40" s="473"/>
      <c r="N40" s="470">
        <v>2037</v>
      </c>
      <c r="O40" s="474">
        <f t="shared" si="0"/>
        <v>1440000</v>
      </c>
      <c r="P40" s="473"/>
      <c r="Q40" s="487"/>
    </row>
    <row r="41" spans="1:17" s="475" customFormat="1" x14ac:dyDescent="0.25">
      <c r="A41" s="429">
        <v>17</v>
      </c>
      <c r="B41" s="472">
        <v>50405</v>
      </c>
      <c r="C41" s="471">
        <f t="shared" si="1"/>
        <v>5600000</v>
      </c>
      <c r="D41" s="471">
        <f t="shared" si="2"/>
        <v>5132395</v>
      </c>
      <c r="E41" s="471">
        <f t="shared" si="3"/>
        <v>467605</v>
      </c>
      <c r="F41" s="471">
        <f t="shared" si="4"/>
        <v>67278813</v>
      </c>
      <c r="G41" s="449"/>
      <c r="H41" s="472">
        <v>50405</v>
      </c>
      <c r="I41" s="471">
        <f t="shared" si="5"/>
        <v>1399999.9999999998</v>
      </c>
      <c r="J41" s="471">
        <f t="shared" si="6"/>
        <v>1283098</v>
      </c>
      <c r="K41" s="471">
        <f t="shared" si="7"/>
        <v>116901.99999999977</v>
      </c>
      <c r="L41" s="471">
        <f t="shared" si="8"/>
        <v>16819699</v>
      </c>
      <c r="M41" s="473"/>
      <c r="N41" s="470">
        <v>2038</v>
      </c>
      <c r="O41" s="474">
        <f t="shared" si="0"/>
        <v>1440000</v>
      </c>
      <c r="P41" s="473"/>
      <c r="Q41" s="487"/>
    </row>
    <row r="42" spans="1:17" s="475" customFormat="1" x14ac:dyDescent="0.25">
      <c r="A42" s="429">
        <v>18</v>
      </c>
      <c r="B42" s="472">
        <v>50770</v>
      </c>
      <c r="C42" s="471">
        <f t="shared" si="1"/>
        <v>5600000</v>
      </c>
      <c r="D42" s="471">
        <f t="shared" si="2"/>
        <v>5096970</v>
      </c>
      <c r="E42" s="471">
        <f t="shared" si="3"/>
        <v>503030</v>
      </c>
      <c r="F42" s="471">
        <f t="shared" si="4"/>
        <v>66775783</v>
      </c>
      <c r="G42" s="449"/>
      <c r="H42" s="472">
        <v>50770</v>
      </c>
      <c r="I42" s="471">
        <f t="shared" si="5"/>
        <v>1399999.9999999998</v>
      </c>
      <c r="J42" s="471">
        <f t="shared" si="6"/>
        <v>1274242</v>
      </c>
      <c r="K42" s="471">
        <f t="shared" si="7"/>
        <v>125757.99999999977</v>
      </c>
      <c r="L42" s="471">
        <f t="shared" si="8"/>
        <v>16693941</v>
      </c>
      <c r="M42" s="473"/>
      <c r="N42" s="470">
        <v>2039</v>
      </c>
      <c r="O42" s="474">
        <f t="shared" si="0"/>
        <v>1440000</v>
      </c>
      <c r="P42" s="473"/>
      <c r="Q42" s="487"/>
    </row>
    <row r="43" spans="1:17" s="475" customFormat="1" x14ac:dyDescent="0.25">
      <c r="A43" s="429">
        <v>19</v>
      </c>
      <c r="B43" s="472">
        <v>51135</v>
      </c>
      <c r="C43" s="471">
        <f t="shared" si="1"/>
        <v>5600000</v>
      </c>
      <c r="D43" s="471">
        <f t="shared" si="2"/>
        <v>5058861</v>
      </c>
      <c r="E43" s="471">
        <f t="shared" si="3"/>
        <v>541139</v>
      </c>
      <c r="F43" s="471">
        <f t="shared" si="4"/>
        <v>66234644</v>
      </c>
      <c r="G43" s="449"/>
      <c r="H43" s="472">
        <v>51135</v>
      </c>
      <c r="I43" s="471">
        <f t="shared" si="5"/>
        <v>1399999.9999999998</v>
      </c>
      <c r="J43" s="471">
        <f t="shared" si="6"/>
        <v>1264715</v>
      </c>
      <c r="K43" s="471">
        <f t="shared" si="7"/>
        <v>135284.99999999977</v>
      </c>
      <c r="L43" s="471">
        <f t="shared" si="8"/>
        <v>16558656</v>
      </c>
      <c r="M43" s="473"/>
      <c r="N43" s="470">
        <v>2040</v>
      </c>
      <c r="O43" s="474">
        <f t="shared" si="0"/>
        <v>1440000</v>
      </c>
      <c r="P43" s="473"/>
      <c r="Q43" s="487"/>
    </row>
    <row r="44" spans="1:17" s="475" customFormat="1" x14ac:dyDescent="0.25">
      <c r="A44" s="429">
        <v>20</v>
      </c>
      <c r="B44" s="472">
        <v>51501</v>
      </c>
      <c r="C44" s="471">
        <f t="shared" si="1"/>
        <v>5600000</v>
      </c>
      <c r="D44" s="471">
        <f t="shared" si="2"/>
        <v>5017864</v>
      </c>
      <c r="E44" s="471">
        <f t="shared" si="3"/>
        <v>582136</v>
      </c>
      <c r="F44" s="471">
        <f t="shared" si="4"/>
        <v>65652508</v>
      </c>
      <c r="G44" s="449"/>
      <c r="H44" s="472">
        <v>51501</v>
      </c>
      <c r="I44" s="471">
        <f t="shared" si="5"/>
        <v>1399999.9999999998</v>
      </c>
      <c r="J44" s="471">
        <f t="shared" si="6"/>
        <v>1254466</v>
      </c>
      <c r="K44" s="471">
        <f t="shared" si="7"/>
        <v>145533.99999999977</v>
      </c>
      <c r="L44" s="471">
        <f t="shared" si="8"/>
        <v>16413122</v>
      </c>
      <c r="M44" s="473"/>
      <c r="N44" s="470">
        <v>2041</v>
      </c>
      <c r="O44" s="474">
        <f t="shared" si="0"/>
        <v>1440000</v>
      </c>
      <c r="P44" s="473"/>
      <c r="Q44" s="487"/>
    </row>
    <row r="45" spans="1:17" s="475" customFormat="1" x14ac:dyDescent="0.25">
      <c r="A45" s="429">
        <v>21</v>
      </c>
      <c r="B45" s="472">
        <v>51866</v>
      </c>
      <c r="C45" s="471">
        <f t="shared" si="1"/>
        <v>5600000</v>
      </c>
      <c r="D45" s="471">
        <f t="shared" si="2"/>
        <v>4973762</v>
      </c>
      <c r="E45" s="471">
        <f t="shared" si="3"/>
        <v>626238</v>
      </c>
      <c r="F45" s="471">
        <f t="shared" si="4"/>
        <v>65026270</v>
      </c>
      <c r="G45" s="449"/>
      <c r="H45" s="472">
        <v>51866</v>
      </c>
      <c r="I45" s="471">
        <f t="shared" si="5"/>
        <v>1399999.9999999998</v>
      </c>
      <c r="J45" s="471">
        <f t="shared" si="6"/>
        <v>1243440</v>
      </c>
      <c r="K45" s="471">
        <f t="shared" si="7"/>
        <v>156559.99999999977</v>
      </c>
      <c r="L45" s="471">
        <f t="shared" si="8"/>
        <v>16256562</v>
      </c>
      <c r="M45" s="473"/>
      <c r="N45" s="470">
        <v>2042</v>
      </c>
      <c r="O45" s="474">
        <f t="shared" si="0"/>
        <v>1440000</v>
      </c>
      <c r="P45" s="473"/>
      <c r="Q45" s="487"/>
    </row>
    <row r="46" spans="1:17" s="475" customFormat="1" x14ac:dyDescent="0.25">
      <c r="A46" s="429">
        <v>22</v>
      </c>
      <c r="B46" s="472">
        <v>52231</v>
      </c>
      <c r="C46" s="471">
        <f t="shared" si="1"/>
        <v>5600000</v>
      </c>
      <c r="D46" s="471">
        <f t="shared" si="2"/>
        <v>4926319</v>
      </c>
      <c r="E46" s="471">
        <f t="shared" si="3"/>
        <v>673681</v>
      </c>
      <c r="F46" s="471">
        <f t="shared" si="4"/>
        <v>64352589</v>
      </c>
      <c r="G46" s="449"/>
      <c r="H46" s="472">
        <v>52231</v>
      </c>
      <c r="I46" s="471">
        <f t="shared" si="5"/>
        <v>1399999.9999999998</v>
      </c>
      <c r="J46" s="471">
        <f t="shared" si="6"/>
        <v>1231579</v>
      </c>
      <c r="K46" s="471">
        <f t="shared" si="7"/>
        <v>168420.99999999977</v>
      </c>
      <c r="L46" s="471">
        <f t="shared" si="8"/>
        <v>16088141</v>
      </c>
      <c r="M46" s="473"/>
      <c r="N46" s="470">
        <v>2043</v>
      </c>
      <c r="O46" s="474">
        <f t="shared" si="0"/>
        <v>1440000</v>
      </c>
      <c r="P46" s="473"/>
      <c r="Q46" s="487"/>
    </row>
    <row r="47" spans="1:17" s="475" customFormat="1" x14ac:dyDescent="0.25">
      <c r="A47" s="429">
        <v>23</v>
      </c>
      <c r="B47" s="472">
        <v>52596</v>
      </c>
      <c r="C47" s="471">
        <f t="shared" si="1"/>
        <v>5600000</v>
      </c>
      <c r="D47" s="471">
        <f t="shared" si="2"/>
        <v>4875282</v>
      </c>
      <c r="E47" s="471">
        <f t="shared" si="3"/>
        <v>724718</v>
      </c>
      <c r="F47" s="471">
        <f t="shared" si="4"/>
        <v>63627871</v>
      </c>
      <c r="G47" s="449"/>
      <c r="H47" s="472">
        <v>52596</v>
      </c>
      <c r="I47" s="471">
        <f t="shared" si="5"/>
        <v>1399999.9999999998</v>
      </c>
      <c r="J47" s="471">
        <f t="shared" si="6"/>
        <v>1218820</v>
      </c>
      <c r="K47" s="471">
        <f t="shared" si="7"/>
        <v>181179.99999999977</v>
      </c>
      <c r="L47" s="471">
        <f t="shared" si="8"/>
        <v>15906961</v>
      </c>
      <c r="M47" s="473"/>
      <c r="N47" s="470">
        <v>2044</v>
      </c>
      <c r="O47" s="474">
        <f t="shared" si="0"/>
        <v>1440000</v>
      </c>
      <c r="P47" s="473"/>
      <c r="Q47" s="487"/>
    </row>
    <row r="48" spans="1:17" s="475" customFormat="1" x14ac:dyDescent="0.25">
      <c r="A48" s="429">
        <v>24</v>
      </c>
      <c r="B48" s="472">
        <v>52962</v>
      </c>
      <c r="C48" s="471">
        <f t="shared" si="1"/>
        <v>5600000</v>
      </c>
      <c r="D48" s="471">
        <f t="shared" si="2"/>
        <v>4820378</v>
      </c>
      <c r="E48" s="471">
        <f t="shared" si="3"/>
        <v>779622</v>
      </c>
      <c r="F48" s="471">
        <f t="shared" si="4"/>
        <v>62848249</v>
      </c>
      <c r="G48" s="449"/>
      <c r="H48" s="472">
        <v>52962</v>
      </c>
      <c r="I48" s="471">
        <f t="shared" si="5"/>
        <v>1399999.9999999998</v>
      </c>
      <c r="J48" s="471">
        <f t="shared" si="6"/>
        <v>1205094</v>
      </c>
      <c r="K48" s="471">
        <f t="shared" si="7"/>
        <v>194905.99999999977</v>
      </c>
      <c r="L48" s="471">
        <f t="shared" si="8"/>
        <v>15712055</v>
      </c>
      <c r="M48" s="473"/>
      <c r="N48" s="470">
        <v>2045</v>
      </c>
      <c r="O48" s="474">
        <f t="shared" si="0"/>
        <v>1440000</v>
      </c>
      <c r="P48" s="473"/>
      <c r="Q48" s="487"/>
    </row>
    <row r="49" spans="1:17" s="475" customFormat="1" x14ac:dyDescent="0.25">
      <c r="A49" s="429">
        <v>25</v>
      </c>
      <c r="B49" s="472">
        <v>53327</v>
      </c>
      <c r="C49" s="471">
        <f t="shared" si="1"/>
        <v>5600000</v>
      </c>
      <c r="D49" s="471">
        <f t="shared" si="2"/>
        <v>4761315</v>
      </c>
      <c r="E49" s="471">
        <f t="shared" si="3"/>
        <v>838685</v>
      </c>
      <c r="F49" s="471">
        <f t="shared" si="4"/>
        <v>62009564</v>
      </c>
      <c r="G49" s="449"/>
      <c r="H49" s="472">
        <v>53327</v>
      </c>
      <c r="I49" s="471">
        <f t="shared" si="5"/>
        <v>1399999.9999999998</v>
      </c>
      <c r="J49" s="471">
        <f t="shared" si="6"/>
        <v>1190328</v>
      </c>
      <c r="K49" s="471">
        <f t="shared" si="7"/>
        <v>209671.99999999977</v>
      </c>
      <c r="L49" s="471">
        <f t="shared" si="8"/>
        <v>15502383</v>
      </c>
      <c r="M49" s="473"/>
      <c r="N49" s="470">
        <v>2046</v>
      </c>
      <c r="O49" s="474">
        <f t="shared" si="0"/>
        <v>1440000</v>
      </c>
      <c r="P49" s="473"/>
      <c r="Q49" s="487"/>
    </row>
    <row r="50" spans="1:17" s="475" customFormat="1" x14ac:dyDescent="0.25">
      <c r="A50" s="429">
        <v>26</v>
      </c>
      <c r="B50" s="472">
        <v>53692</v>
      </c>
      <c r="C50" s="471">
        <f t="shared" si="1"/>
        <v>5600000</v>
      </c>
      <c r="D50" s="471">
        <f t="shared" si="2"/>
        <v>4697777</v>
      </c>
      <c r="E50" s="471">
        <f t="shared" si="3"/>
        <v>902223</v>
      </c>
      <c r="F50" s="471">
        <f t="shared" si="4"/>
        <v>61107341</v>
      </c>
      <c r="G50" s="449"/>
      <c r="H50" s="472">
        <v>53692</v>
      </c>
      <c r="I50" s="471">
        <f t="shared" si="5"/>
        <v>1399999.9999999998</v>
      </c>
      <c r="J50" s="471">
        <f t="shared" si="6"/>
        <v>1174444</v>
      </c>
      <c r="K50" s="471">
        <f t="shared" si="7"/>
        <v>225555.99999999977</v>
      </c>
      <c r="L50" s="471">
        <f t="shared" si="8"/>
        <v>15276827</v>
      </c>
      <c r="M50" s="473"/>
      <c r="N50" s="470">
        <v>2047</v>
      </c>
      <c r="O50" s="474">
        <f t="shared" si="0"/>
        <v>1440000</v>
      </c>
      <c r="P50" s="473"/>
      <c r="Q50" s="487"/>
    </row>
    <row r="51" spans="1:17" s="475" customFormat="1" x14ac:dyDescent="0.25">
      <c r="A51" s="429">
        <v>27</v>
      </c>
      <c r="B51" s="472">
        <v>54057</v>
      </c>
      <c r="C51" s="471">
        <f t="shared" si="1"/>
        <v>5600000</v>
      </c>
      <c r="D51" s="471">
        <f t="shared" si="2"/>
        <v>4629426</v>
      </c>
      <c r="E51" s="471">
        <f t="shared" si="3"/>
        <v>970574</v>
      </c>
      <c r="F51" s="471">
        <f t="shared" si="4"/>
        <v>60136767</v>
      </c>
      <c r="G51" s="449"/>
      <c r="H51" s="472">
        <v>54057</v>
      </c>
      <c r="I51" s="471">
        <f t="shared" si="5"/>
        <v>1399999.9999999998</v>
      </c>
      <c r="J51" s="471">
        <f t="shared" si="6"/>
        <v>1157356</v>
      </c>
      <c r="K51" s="471">
        <f t="shared" si="7"/>
        <v>242643.99999999977</v>
      </c>
      <c r="L51" s="471">
        <f t="shared" si="8"/>
        <v>15034183</v>
      </c>
      <c r="M51" s="473"/>
      <c r="N51" s="470">
        <v>2048</v>
      </c>
      <c r="O51" s="474">
        <f t="shared" si="0"/>
        <v>1440000</v>
      </c>
      <c r="P51" s="473"/>
      <c r="Q51" s="487"/>
    </row>
    <row r="52" spans="1:17" s="475" customFormat="1" x14ac:dyDescent="0.25">
      <c r="A52" s="429">
        <v>28</v>
      </c>
      <c r="B52" s="472">
        <v>54423</v>
      </c>
      <c r="C52" s="471">
        <f t="shared" si="1"/>
        <v>5600000</v>
      </c>
      <c r="D52" s="471">
        <f t="shared" si="2"/>
        <v>4555896</v>
      </c>
      <c r="E52" s="471">
        <f t="shared" si="3"/>
        <v>1044104</v>
      </c>
      <c r="F52" s="471">
        <f t="shared" si="4"/>
        <v>59092663</v>
      </c>
      <c r="G52" s="449"/>
      <c r="H52" s="472">
        <v>54423</v>
      </c>
      <c r="I52" s="471">
        <f t="shared" si="5"/>
        <v>1399999.9999999998</v>
      </c>
      <c r="J52" s="471">
        <f t="shared" si="6"/>
        <v>1138973</v>
      </c>
      <c r="K52" s="471">
        <f t="shared" si="7"/>
        <v>261026.99999999977</v>
      </c>
      <c r="L52" s="471">
        <f t="shared" si="8"/>
        <v>14773156</v>
      </c>
      <c r="M52" s="473"/>
      <c r="N52" s="470">
        <v>2049</v>
      </c>
      <c r="O52" s="474">
        <f t="shared" si="0"/>
        <v>1440000</v>
      </c>
      <c r="P52" s="473"/>
      <c r="Q52" s="487"/>
    </row>
    <row r="53" spans="1:17" s="475" customFormat="1" x14ac:dyDescent="0.25">
      <c r="A53" s="429">
        <v>29</v>
      </c>
      <c r="B53" s="472">
        <v>54788</v>
      </c>
      <c r="C53" s="471">
        <f t="shared" si="1"/>
        <v>5600000</v>
      </c>
      <c r="D53" s="471">
        <f t="shared" si="2"/>
        <v>4476796</v>
      </c>
      <c r="E53" s="471">
        <f t="shared" si="3"/>
        <v>1123204</v>
      </c>
      <c r="F53" s="471">
        <f t="shared" si="4"/>
        <v>57969459</v>
      </c>
      <c r="G53" s="449"/>
      <c r="H53" s="472">
        <v>54788</v>
      </c>
      <c r="I53" s="471">
        <f t="shared" si="5"/>
        <v>1399999.9999999998</v>
      </c>
      <c r="J53" s="471">
        <f t="shared" si="6"/>
        <v>1119198</v>
      </c>
      <c r="K53" s="471">
        <f t="shared" si="7"/>
        <v>280801.99999999977</v>
      </c>
      <c r="L53" s="471">
        <f t="shared" si="8"/>
        <v>14492354</v>
      </c>
      <c r="M53" s="473"/>
      <c r="N53" s="470">
        <v>2050</v>
      </c>
      <c r="O53" s="474">
        <f t="shared" si="0"/>
        <v>1440000</v>
      </c>
      <c r="P53" s="473"/>
      <c r="Q53" s="487"/>
    </row>
    <row r="54" spans="1:17" s="475" customFormat="1" x14ac:dyDescent="0.25">
      <c r="A54" s="429">
        <v>30</v>
      </c>
      <c r="B54" s="472">
        <v>55153</v>
      </c>
      <c r="C54" s="471">
        <f t="shared" si="1"/>
        <v>5600000</v>
      </c>
      <c r="D54" s="471">
        <f t="shared" si="2"/>
        <v>4391703</v>
      </c>
      <c r="E54" s="471">
        <f t="shared" si="3"/>
        <v>1208297</v>
      </c>
      <c r="F54" s="471">
        <f t="shared" si="4"/>
        <v>56761162</v>
      </c>
      <c r="G54" s="449"/>
      <c r="H54" s="472">
        <v>55153</v>
      </c>
      <c r="I54" s="471">
        <f t="shared" si="5"/>
        <v>1399999.9999999998</v>
      </c>
      <c r="J54" s="471">
        <f t="shared" si="6"/>
        <v>1097925</v>
      </c>
      <c r="K54" s="471">
        <f t="shared" si="7"/>
        <v>302074.99999999977</v>
      </c>
      <c r="L54" s="471">
        <f t="shared" si="8"/>
        <v>14190279</v>
      </c>
      <c r="M54" s="473"/>
      <c r="N54" s="470">
        <v>2051</v>
      </c>
      <c r="O54" s="474">
        <f t="shared" si="0"/>
        <v>1440000</v>
      </c>
      <c r="P54" s="473"/>
      <c r="Q54" s="487"/>
    </row>
    <row r="55" spans="1:17" s="475" customFormat="1" x14ac:dyDescent="0.25">
      <c r="A55" s="429">
        <v>31</v>
      </c>
      <c r="B55" s="472">
        <v>55518</v>
      </c>
      <c r="C55" s="471">
        <f t="shared" si="1"/>
        <v>5600000</v>
      </c>
      <c r="D55" s="471">
        <f t="shared" si="2"/>
        <v>4300164</v>
      </c>
      <c r="E55" s="471">
        <f t="shared" si="3"/>
        <v>1299836</v>
      </c>
      <c r="F55" s="471">
        <f t="shared" si="4"/>
        <v>55461326</v>
      </c>
      <c r="G55" s="449"/>
      <c r="H55" s="472">
        <v>55518</v>
      </c>
      <c r="I55" s="471">
        <f t="shared" si="5"/>
        <v>1399999.9999999998</v>
      </c>
      <c r="J55" s="471">
        <f t="shared" si="6"/>
        <v>1075040</v>
      </c>
      <c r="K55" s="471">
        <f t="shared" si="7"/>
        <v>324959.99999999977</v>
      </c>
      <c r="L55" s="471">
        <f t="shared" si="8"/>
        <v>13865319</v>
      </c>
      <c r="M55" s="473"/>
      <c r="N55" s="470">
        <v>2052</v>
      </c>
      <c r="O55" s="474">
        <f t="shared" si="0"/>
        <v>1440000</v>
      </c>
      <c r="P55" s="473"/>
      <c r="Q55" s="487"/>
    </row>
    <row r="56" spans="1:17" s="475" customFormat="1" x14ac:dyDescent="0.25">
      <c r="A56" s="429">
        <v>32</v>
      </c>
      <c r="B56" s="472">
        <v>55884</v>
      </c>
      <c r="C56" s="471">
        <f t="shared" si="1"/>
        <v>5600000</v>
      </c>
      <c r="D56" s="471">
        <f t="shared" si="2"/>
        <v>4201690</v>
      </c>
      <c r="E56" s="471">
        <f t="shared" si="3"/>
        <v>1398310</v>
      </c>
      <c r="F56" s="471">
        <f t="shared" si="4"/>
        <v>54063016</v>
      </c>
      <c r="G56" s="449"/>
      <c r="H56" s="472">
        <v>55884</v>
      </c>
      <c r="I56" s="471">
        <f t="shared" si="5"/>
        <v>1399999.9999999998</v>
      </c>
      <c r="J56" s="471">
        <f t="shared" si="6"/>
        <v>1050421</v>
      </c>
      <c r="K56" s="471">
        <f t="shared" si="7"/>
        <v>349578.99999999977</v>
      </c>
      <c r="L56" s="471">
        <f t="shared" si="8"/>
        <v>13515740</v>
      </c>
      <c r="M56" s="473"/>
      <c r="N56" s="470">
        <v>2053</v>
      </c>
      <c r="O56" s="474">
        <f t="shared" si="0"/>
        <v>1440000</v>
      </c>
      <c r="P56" s="473"/>
      <c r="Q56" s="487"/>
    </row>
    <row r="57" spans="1:17" s="475" customFormat="1" x14ac:dyDescent="0.25">
      <c r="A57" s="429">
        <v>33</v>
      </c>
      <c r="B57" s="472">
        <v>56249</v>
      </c>
      <c r="C57" s="471">
        <f t="shared" si="1"/>
        <v>5600000</v>
      </c>
      <c r="D57" s="471">
        <f t="shared" si="2"/>
        <v>4095755</v>
      </c>
      <c r="E57" s="471">
        <f t="shared" si="3"/>
        <v>1504245</v>
      </c>
      <c r="F57" s="471">
        <f t="shared" si="4"/>
        <v>52558771</v>
      </c>
      <c r="G57" s="449"/>
      <c r="H57" s="472">
        <v>56249</v>
      </c>
      <c r="I57" s="471">
        <f t="shared" si="5"/>
        <v>1399999.9999999998</v>
      </c>
      <c r="J57" s="471">
        <f t="shared" si="6"/>
        <v>1023938</v>
      </c>
      <c r="K57" s="471">
        <f t="shared" si="7"/>
        <v>376061.99999999977</v>
      </c>
      <c r="L57" s="471">
        <f t="shared" si="8"/>
        <v>13139678</v>
      </c>
      <c r="M57" s="473"/>
      <c r="N57" s="470">
        <v>2054</v>
      </c>
      <c r="O57" s="474">
        <f t="shared" ref="O57:O73" si="9">+$O$22/$O$23</f>
        <v>1440000</v>
      </c>
      <c r="P57" s="473"/>
      <c r="Q57" s="487"/>
    </row>
    <row r="58" spans="1:17" s="475" customFormat="1" x14ac:dyDescent="0.25">
      <c r="A58" s="429">
        <v>34</v>
      </c>
      <c r="B58" s="472">
        <v>56614</v>
      </c>
      <c r="C58" s="471">
        <f t="shared" si="1"/>
        <v>5600000</v>
      </c>
      <c r="D58" s="471">
        <f t="shared" si="2"/>
        <v>3981795</v>
      </c>
      <c r="E58" s="471">
        <f t="shared" si="3"/>
        <v>1618205</v>
      </c>
      <c r="F58" s="471">
        <f t="shared" si="4"/>
        <v>50940566</v>
      </c>
      <c r="G58" s="449"/>
      <c r="H58" s="472">
        <v>56614</v>
      </c>
      <c r="I58" s="471">
        <f t="shared" si="5"/>
        <v>1399999.9999999998</v>
      </c>
      <c r="J58" s="471">
        <f t="shared" si="6"/>
        <v>995448</v>
      </c>
      <c r="K58" s="471">
        <f t="shared" si="7"/>
        <v>404551.99999999977</v>
      </c>
      <c r="L58" s="471">
        <f t="shared" si="8"/>
        <v>12735126</v>
      </c>
      <c r="M58" s="473"/>
      <c r="N58" s="470">
        <v>2055</v>
      </c>
      <c r="O58" s="474">
        <f t="shared" si="9"/>
        <v>1440000</v>
      </c>
      <c r="P58" s="473"/>
      <c r="Q58" s="487"/>
    </row>
    <row r="59" spans="1:17" s="475" customFormat="1" x14ac:dyDescent="0.25">
      <c r="A59" s="429">
        <v>35</v>
      </c>
      <c r="B59" s="472">
        <v>56979</v>
      </c>
      <c r="C59" s="471">
        <f t="shared" si="1"/>
        <v>5600000</v>
      </c>
      <c r="D59" s="471">
        <f t="shared" si="2"/>
        <v>3859202</v>
      </c>
      <c r="E59" s="471">
        <f t="shared" si="3"/>
        <v>1740798</v>
      </c>
      <c r="F59" s="471">
        <f t="shared" si="4"/>
        <v>49199768</v>
      </c>
      <c r="G59" s="449"/>
      <c r="H59" s="472">
        <v>56979</v>
      </c>
      <c r="I59" s="471">
        <f t="shared" si="5"/>
        <v>1399999.9999999998</v>
      </c>
      <c r="J59" s="471">
        <f t="shared" si="6"/>
        <v>964799</v>
      </c>
      <c r="K59" s="471">
        <f t="shared" si="7"/>
        <v>435200.99999999977</v>
      </c>
      <c r="L59" s="471">
        <f t="shared" si="8"/>
        <v>12299925</v>
      </c>
      <c r="M59" s="473"/>
      <c r="N59" s="470">
        <v>2056</v>
      </c>
      <c r="O59" s="474">
        <f t="shared" si="9"/>
        <v>1440000</v>
      </c>
      <c r="P59" s="473"/>
      <c r="Q59" s="487"/>
    </row>
    <row r="60" spans="1:17" s="475" customFormat="1" x14ac:dyDescent="0.25">
      <c r="A60" s="429">
        <v>36</v>
      </c>
      <c r="B60" s="472">
        <v>57345</v>
      </c>
      <c r="C60" s="471">
        <f t="shared" si="1"/>
        <v>5600000</v>
      </c>
      <c r="D60" s="471">
        <f t="shared" si="2"/>
        <v>3727321</v>
      </c>
      <c r="E60" s="471">
        <f t="shared" si="3"/>
        <v>1872679</v>
      </c>
      <c r="F60" s="471">
        <f t="shared" si="4"/>
        <v>47327089</v>
      </c>
      <c r="G60" s="449"/>
      <c r="H60" s="472">
        <v>57345</v>
      </c>
      <c r="I60" s="471">
        <f t="shared" si="5"/>
        <v>1399999.9999999998</v>
      </c>
      <c r="J60" s="471">
        <f t="shared" si="6"/>
        <v>931829</v>
      </c>
      <c r="K60" s="471">
        <f t="shared" si="7"/>
        <v>468170.99999999977</v>
      </c>
      <c r="L60" s="471">
        <f t="shared" si="8"/>
        <v>11831754</v>
      </c>
      <c r="M60" s="473"/>
      <c r="N60" s="470">
        <v>2057</v>
      </c>
      <c r="O60" s="474">
        <f t="shared" si="9"/>
        <v>1440000</v>
      </c>
      <c r="P60" s="473"/>
      <c r="Q60" s="487"/>
    </row>
    <row r="61" spans="1:17" s="475" customFormat="1" x14ac:dyDescent="0.25">
      <c r="A61" s="429">
        <v>37</v>
      </c>
      <c r="B61" s="472">
        <v>57710</v>
      </c>
      <c r="C61" s="471">
        <f t="shared" si="1"/>
        <v>5600000</v>
      </c>
      <c r="D61" s="471">
        <f t="shared" si="2"/>
        <v>3585449</v>
      </c>
      <c r="E61" s="471">
        <f t="shared" si="3"/>
        <v>2014551</v>
      </c>
      <c r="F61" s="471">
        <f t="shared" si="4"/>
        <v>45312538</v>
      </c>
      <c r="G61" s="449"/>
      <c r="H61" s="472">
        <v>57710</v>
      </c>
      <c r="I61" s="471">
        <f t="shared" si="5"/>
        <v>1399999.9999999998</v>
      </c>
      <c r="J61" s="471">
        <f t="shared" si="6"/>
        <v>896361</v>
      </c>
      <c r="K61" s="471">
        <f t="shared" si="7"/>
        <v>503638.99999999977</v>
      </c>
      <c r="L61" s="471">
        <f t="shared" si="8"/>
        <v>11328115</v>
      </c>
      <c r="M61" s="473"/>
      <c r="N61" s="470">
        <v>2058</v>
      </c>
      <c r="O61" s="474">
        <f t="shared" si="9"/>
        <v>1440000</v>
      </c>
      <c r="P61" s="473"/>
      <c r="Q61" s="487"/>
    </row>
    <row r="62" spans="1:17" s="475" customFormat="1" x14ac:dyDescent="0.25">
      <c r="A62" s="429">
        <v>38</v>
      </c>
      <c r="B62" s="472">
        <v>58075</v>
      </c>
      <c r="C62" s="471">
        <f t="shared" si="1"/>
        <v>5600000</v>
      </c>
      <c r="D62" s="471">
        <f t="shared" si="2"/>
        <v>3432828</v>
      </c>
      <c r="E62" s="471">
        <f t="shared" si="3"/>
        <v>2167172</v>
      </c>
      <c r="F62" s="471">
        <f t="shared" si="4"/>
        <v>43145366</v>
      </c>
      <c r="G62" s="449"/>
      <c r="H62" s="472">
        <v>58075</v>
      </c>
      <c r="I62" s="471">
        <f t="shared" si="5"/>
        <v>1399999.9999999998</v>
      </c>
      <c r="J62" s="471">
        <f t="shared" si="6"/>
        <v>858206</v>
      </c>
      <c r="K62" s="471">
        <f t="shared" si="7"/>
        <v>541793.99999999977</v>
      </c>
      <c r="L62" s="471">
        <f t="shared" si="8"/>
        <v>10786321</v>
      </c>
      <c r="M62" s="473"/>
      <c r="N62" s="470">
        <v>2059</v>
      </c>
      <c r="O62" s="474">
        <f t="shared" si="9"/>
        <v>1440000</v>
      </c>
      <c r="P62" s="473"/>
      <c r="Q62" s="487"/>
    </row>
    <row r="63" spans="1:17" s="475" customFormat="1" x14ac:dyDescent="0.25">
      <c r="A63" s="429">
        <v>39</v>
      </c>
      <c r="B63" s="472">
        <v>58440</v>
      </c>
      <c r="C63" s="471">
        <f t="shared" si="1"/>
        <v>5600000</v>
      </c>
      <c r="D63" s="471">
        <f t="shared" si="2"/>
        <v>3268646</v>
      </c>
      <c r="E63" s="471">
        <f t="shared" si="3"/>
        <v>2331354</v>
      </c>
      <c r="F63" s="471">
        <f t="shared" si="4"/>
        <v>40814012</v>
      </c>
      <c r="G63" s="449"/>
      <c r="H63" s="472">
        <v>58440</v>
      </c>
      <c r="I63" s="471">
        <f t="shared" si="5"/>
        <v>1399999.9999999998</v>
      </c>
      <c r="J63" s="471">
        <f t="shared" si="6"/>
        <v>817160</v>
      </c>
      <c r="K63" s="471">
        <f t="shared" si="7"/>
        <v>582839.99999999977</v>
      </c>
      <c r="L63" s="471">
        <f t="shared" si="8"/>
        <v>10203481</v>
      </c>
      <c r="M63" s="473"/>
      <c r="N63" s="470">
        <v>2060</v>
      </c>
      <c r="O63" s="474">
        <f t="shared" si="9"/>
        <v>1440000</v>
      </c>
      <c r="P63" s="473"/>
      <c r="Q63" s="487"/>
    </row>
    <row r="64" spans="1:17" s="475" customFormat="1" x14ac:dyDescent="0.25">
      <c r="A64" s="429">
        <v>40</v>
      </c>
      <c r="B64" s="472">
        <v>58806</v>
      </c>
      <c r="C64" s="471">
        <f t="shared" si="1"/>
        <v>5600000</v>
      </c>
      <c r="D64" s="471">
        <f t="shared" si="2"/>
        <v>3092025</v>
      </c>
      <c r="E64" s="471">
        <f t="shared" si="3"/>
        <v>2507975</v>
      </c>
      <c r="F64" s="471">
        <f t="shared" si="4"/>
        <v>38306037</v>
      </c>
      <c r="G64" s="449"/>
      <c r="H64" s="472">
        <v>58806</v>
      </c>
      <c r="I64" s="471">
        <f t="shared" si="5"/>
        <v>1399999.9999999998</v>
      </c>
      <c r="J64" s="471">
        <f t="shared" si="6"/>
        <v>773005</v>
      </c>
      <c r="K64" s="471">
        <f t="shared" si="7"/>
        <v>626994.99999999977</v>
      </c>
      <c r="L64" s="471">
        <f t="shared" si="8"/>
        <v>9576486</v>
      </c>
      <c r="M64" s="473"/>
      <c r="N64" s="470">
        <v>2061</v>
      </c>
      <c r="O64" s="474">
        <f t="shared" si="9"/>
        <v>1440000</v>
      </c>
      <c r="P64" s="473"/>
      <c r="Q64" s="487"/>
    </row>
    <row r="65" spans="1:17" s="475" customFormat="1" x14ac:dyDescent="0.25">
      <c r="A65" s="429">
        <v>41</v>
      </c>
      <c r="B65" s="472">
        <v>59171</v>
      </c>
      <c r="C65" s="471">
        <f t="shared" si="1"/>
        <v>5600000</v>
      </c>
      <c r="D65" s="471">
        <f t="shared" si="2"/>
        <v>2902024</v>
      </c>
      <c r="E65" s="471">
        <f t="shared" si="3"/>
        <v>2697976</v>
      </c>
      <c r="F65" s="471">
        <f t="shared" si="4"/>
        <v>35608061</v>
      </c>
      <c r="G65" s="473"/>
      <c r="H65" s="472">
        <v>59171</v>
      </c>
      <c r="I65" s="471">
        <f t="shared" si="5"/>
        <v>1399999.9999999998</v>
      </c>
      <c r="J65" s="471">
        <f t="shared" si="6"/>
        <v>725504</v>
      </c>
      <c r="K65" s="471">
        <f t="shared" si="7"/>
        <v>674495.99999999977</v>
      </c>
      <c r="L65" s="471">
        <f t="shared" si="8"/>
        <v>8901990</v>
      </c>
      <c r="M65" s="473"/>
      <c r="N65" s="470">
        <v>2062</v>
      </c>
      <c r="O65" s="474">
        <f t="shared" si="9"/>
        <v>1440000</v>
      </c>
      <c r="P65" s="473"/>
      <c r="Q65" s="487"/>
    </row>
    <row r="66" spans="1:17" s="475" customFormat="1" x14ac:dyDescent="0.25">
      <c r="A66" s="429">
        <v>42</v>
      </c>
      <c r="B66" s="472">
        <v>59536</v>
      </c>
      <c r="C66" s="471">
        <f t="shared" si="1"/>
        <v>5600000</v>
      </c>
      <c r="D66" s="471">
        <f t="shared" si="2"/>
        <v>2697628</v>
      </c>
      <c r="E66" s="471">
        <f t="shared" si="3"/>
        <v>2902372</v>
      </c>
      <c r="F66" s="471">
        <f t="shared" si="4"/>
        <v>32705689</v>
      </c>
      <c r="G66" s="473"/>
      <c r="H66" s="472">
        <v>59536</v>
      </c>
      <c r="I66" s="471">
        <f t="shared" si="5"/>
        <v>1399999.9999999998</v>
      </c>
      <c r="J66" s="471">
        <f t="shared" si="6"/>
        <v>674405</v>
      </c>
      <c r="K66" s="471">
        <f t="shared" si="7"/>
        <v>725594.99999999977</v>
      </c>
      <c r="L66" s="471">
        <f t="shared" si="8"/>
        <v>8176395</v>
      </c>
      <c r="M66" s="473"/>
      <c r="N66" s="470">
        <v>2063</v>
      </c>
      <c r="O66" s="474">
        <f t="shared" si="9"/>
        <v>1440000</v>
      </c>
      <c r="P66" s="473"/>
      <c r="Q66" s="487"/>
    </row>
    <row r="67" spans="1:17" s="475" customFormat="1" x14ac:dyDescent="0.25">
      <c r="A67" s="429">
        <v>43</v>
      </c>
      <c r="B67" s="472">
        <v>59901</v>
      </c>
      <c r="C67" s="471">
        <f t="shared" si="1"/>
        <v>5600000</v>
      </c>
      <c r="D67" s="471">
        <f t="shared" si="2"/>
        <v>2477747</v>
      </c>
      <c r="E67" s="471">
        <f t="shared" si="3"/>
        <v>3122253</v>
      </c>
      <c r="F67" s="471">
        <f t="shared" si="4"/>
        <v>29583436</v>
      </c>
      <c r="G67" s="473"/>
      <c r="H67" s="472">
        <v>59901</v>
      </c>
      <c r="I67" s="471">
        <f t="shared" si="5"/>
        <v>1399999.9999999998</v>
      </c>
      <c r="J67" s="471">
        <f t="shared" si="6"/>
        <v>619435</v>
      </c>
      <c r="K67" s="471">
        <f t="shared" si="7"/>
        <v>780564.99999999977</v>
      </c>
      <c r="L67" s="471">
        <f t="shared" si="8"/>
        <v>7395830</v>
      </c>
      <c r="M67" s="473"/>
      <c r="N67" s="470">
        <v>2064</v>
      </c>
      <c r="O67" s="474">
        <f t="shared" si="9"/>
        <v>1440000</v>
      </c>
      <c r="P67" s="473"/>
      <c r="Q67" s="487"/>
    </row>
    <row r="68" spans="1:17" s="475" customFormat="1" x14ac:dyDescent="0.25">
      <c r="A68" s="429">
        <v>44</v>
      </c>
      <c r="B68" s="472">
        <v>60267</v>
      </c>
      <c r="C68" s="471">
        <f t="shared" si="1"/>
        <v>5600000</v>
      </c>
      <c r="D68" s="471">
        <f t="shared" si="2"/>
        <v>2241209</v>
      </c>
      <c r="E68" s="471">
        <f t="shared" si="3"/>
        <v>3358791</v>
      </c>
      <c r="F68" s="471">
        <f t="shared" si="4"/>
        <v>26224645</v>
      </c>
      <c r="G68" s="473"/>
      <c r="H68" s="472">
        <v>60267</v>
      </c>
      <c r="I68" s="471">
        <f t="shared" si="5"/>
        <v>1399999.9999999998</v>
      </c>
      <c r="J68" s="471">
        <f t="shared" si="6"/>
        <v>560300</v>
      </c>
      <c r="K68" s="471">
        <f t="shared" si="7"/>
        <v>839699.99999999977</v>
      </c>
      <c r="L68" s="471">
        <f t="shared" si="8"/>
        <v>6556130</v>
      </c>
      <c r="M68" s="473"/>
      <c r="N68" s="470">
        <v>2065</v>
      </c>
      <c r="O68" s="474">
        <f t="shared" si="9"/>
        <v>1440000</v>
      </c>
      <c r="P68" s="473"/>
      <c r="Q68" s="487"/>
    </row>
    <row r="69" spans="1:17" s="475" customFormat="1" x14ac:dyDescent="0.25">
      <c r="A69" s="429">
        <v>45</v>
      </c>
      <c r="B69" s="472">
        <v>60632</v>
      </c>
      <c r="C69" s="471">
        <f t="shared" si="1"/>
        <v>5600000</v>
      </c>
      <c r="D69" s="471">
        <f t="shared" si="2"/>
        <v>1986751</v>
      </c>
      <c r="E69" s="471">
        <f t="shared" si="3"/>
        <v>3613249</v>
      </c>
      <c r="F69" s="471">
        <f t="shared" si="4"/>
        <v>22611396</v>
      </c>
      <c r="G69" s="473"/>
      <c r="H69" s="472">
        <v>60632</v>
      </c>
      <c r="I69" s="471">
        <f t="shared" si="5"/>
        <v>1399999.9999999998</v>
      </c>
      <c r="J69" s="471">
        <f t="shared" si="6"/>
        <v>496685</v>
      </c>
      <c r="K69" s="471">
        <f t="shared" si="7"/>
        <v>903314.99999999977</v>
      </c>
      <c r="L69" s="471">
        <f t="shared" si="8"/>
        <v>5652815</v>
      </c>
      <c r="M69" s="473"/>
      <c r="N69" s="470">
        <v>2066</v>
      </c>
      <c r="O69" s="474">
        <f t="shared" si="9"/>
        <v>1440000</v>
      </c>
      <c r="P69" s="473"/>
      <c r="Q69" s="487"/>
    </row>
    <row r="70" spans="1:17" s="475" customFormat="1" x14ac:dyDescent="0.25">
      <c r="A70" s="429">
        <v>46</v>
      </c>
      <c r="B70" s="472">
        <v>60997</v>
      </c>
      <c r="C70" s="471">
        <f t="shared" si="1"/>
        <v>5600000</v>
      </c>
      <c r="D70" s="471">
        <f t="shared" si="2"/>
        <v>1713015</v>
      </c>
      <c r="E70" s="471">
        <f t="shared" si="3"/>
        <v>3886985</v>
      </c>
      <c r="F70" s="471">
        <f t="shared" si="4"/>
        <v>18724411</v>
      </c>
      <c r="G70" s="473"/>
      <c r="H70" s="472">
        <v>60997</v>
      </c>
      <c r="I70" s="471">
        <f t="shared" si="5"/>
        <v>1399999.9999999998</v>
      </c>
      <c r="J70" s="471">
        <f t="shared" si="6"/>
        <v>428251</v>
      </c>
      <c r="K70" s="471">
        <f t="shared" si="7"/>
        <v>971748.99999999977</v>
      </c>
      <c r="L70" s="471">
        <f t="shared" si="8"/>
        <v>4681066</v>
      </c>
      <c r="M70" s="473"/>
      <c r="N70" s="470">
        <v>2067</v>
      </c>
      <c r="O70" s="474">
        <f t="shared" si="9"/>
        <v>1440000</v>
      </c>
      <c r="P70" s="473"/>
      <c r="Q70" s="487"/>
    </row>
    <row r="71" spans="1:17" s="475" customFormat="1" x14ac:dyDescent="0.25">
      <c r="A71" s="429">
        <v>47</v>
      </c>
      <c r="B71" s="472">
        <v>61362</v>
      </c>
      <c r="C71" s="471">
        <f t="shared" si="1"/>
        <v>5600000</v>
      </c>
      <c r="D71" s="471">
        <f t="shared" si="2"/>
        <v>1418541</v>
      </c>
      <c r="E71" s="471">
        <f t="shared" si="3"/>
        <v>4181459</v>
      </c>
      <c r="F71" s="471">
        <f t="shared" si="4"/>
        <v>14542952</v>
      </c>
      <c r="G71" s="473"/>
      <c r="H71" s="472">
        <v>61362</v>
      </c>
      <c r="I71" s="471">
        <f t="shared" si="5"/>
        <v>1399999.9999999998</v>
      </c>
      <c r="J71" s="471">
        <f t="shared" si="6"/>
        <v>354632</v>
      </c>
      <c r="K71" s="471">
        <f t="shared" si="7"/>
        <v>1045367.9999999998</v>
      </c>
      <c r="L71" s="471">
        <f t="shared" si="8"/>
        <v>3635698</v>
      </c>
      <c r="M71" s="473"/>
      <c r="N71" s="470">
        <v>2068</v>
      </c>
      <c r="O71" s="474">
        <f t="shared" si="9"/>
        <v>1440000</v>
      </c>
      <c r="P71" s="473"/>
      <c r="Q71" s="487"/>
    </row>
    <row r="72" spans="1:17" s="475" customFormat="1" x14ac:dyDescent="0.25">
      <c r="A72" s="429">
        <v>48</v>
      </c>
      <c r="B72" s="472">
        <v>61728</v>
      </c>
      <c r="C72" s="471">
        <f t="shared" si="1"/>
        <v>5600000</v>
      </c>
      <c r="D72" s="471">
        <f t="shared" si="2"/>
        <v>1101758</v>
      </c>
      <c r="E72" s="471">
        <f t="shared" si="3"/>
        <v>4498242</v>
      </c>
      <c r="F72" s="471">
        <f t="shared" si="4"/>
        <v>10044710</v>
      </c>
      <c r="G72" s="473"/>
      <c r="H72" s="472">
        <v>61728</v>
      </c>
      <c r="I72" s="471">
        <f t="shared" si="5"/>
        <v>1399999.9999999998</v>
      </c>
      <c r="J72" s="471">
        <f t="shared" si="6"/>
        <v>275437</v>
      </c>
      <c r="K72" s="471">
        <f t="shared" si="7"/>
        <v>1124562.9999999998</v>
      </c>
      <c r="L72" s="471">
        <f t="shared" si="8"/>
        <v>2511135</v>
      </c>
      <c r="M72" s="473"/>
      <c r="N72" s="470">
        <v>2069</v>
      </c>
      <c r="O72" s="474">
        <f t="shared" si="9"/>
        <v>1440000</v>
      </c>
      <c r="P72" s="473"/>
      <c r="Q72" s="487"/>
    </row>
    <row r="73" spans="1:17" s="475" customFormat="1" x14ac:dyDescent="0.25">
      <c r="A73" s="429">
        <v>49</v>
      </c>
      <c r="B73" s="472">
        <v>62093</v>
      </c>
      <c r="C73" s="471">
        <f t="shared" si="1"/>
        <v>5600000</v>
      </c>
      <c r="D73" s="471">
        <f t="shared" si="2"/>
        <v>760976</v>
      </c>
      <c r="E73" s="471">
        <f t="shared" si="3"/>
        <v>4839024</v>
      </c>
      <c r="F73" s="471">
        <f t="shared" si="4"/>
        <v>5205686</v>
      </c>
      <c r="G73" s="473"/>
      <c r="H73" s="472">
        <v>62093</v>
      </c>
      <c r="I73" s="471">
        <f t="shared" si="5"/>
        <v>1399999.9999999998</v>
      </c>
      <c r="J73" s="471">
        <f t="shared" si="6"/>
        <v>190241</v>
      </c>
      <c r="K73" s="471">
        <f t="shared" si="7"/>
        <v>1209758.9999999998</v>
      </c>
      <c r="L73" s="471">
        <f t="shared" si="8"/>
        <v>1301376.0000000002</v>
      </c>
      <c r="M73" s="473"/>
      <c r="N73" s="470">
        <v>2070</v>
      </c>
      <c r="O73" s="474">
        <f t="shared" si="9"/>
        <v>1440000</v>
      </c>
      <c r="P73" s="473"/>
      <c r="Q73" s="487"/>
    </row>
    <row r="74" spans="1:17" s="475" customFormat="1" x14ac:dyDescent="0.25">
      <c r="A74" s="429">
        <v>50</v>
      </c>
      <c r="B74" s="476">
        <v>62458</v>
      </c>
      <c r="C74" s="477">
        <f>+C73+63</f>
        <v>5600063</v>
      </c>
      <c r="D74" s="477">
        <f t="shared" si="2"/>
        <v>394377</v>
      </c>
      <c r="E74" s="477">
        <f t="shared" si="3"/>
        <v>5205686</v>
      </c>
      <c r="F74" s="478">
        <f>ROUND(+F73-E74,0)</f>
        <v>0</v>
      </c>
      <c r="G74" s="473"/>
      <c r="H74" s="476">
        <v>62458</v>
      </c>
      <c r="I74" s="477">
        <f>+I73-33</f>
        <v>1399966.9999999998</v>
      </c>
      <c r="J74" s="477">
        <f t="shared" si="6"/>
        <v>98591</v>
      </c>
      <c r="K74" s="477">
        <f t="shared" si="7"/>
        <v>1301375.9999999998</v>
      </c>
      <c r="L74" s="477">
        <f t="shared" si="8"/>
        <v>0</v>
      </c>
      <c r="M74" s="473"/>
      <c r="N74" s="480">
        <v>2071</v>
      </c>
      <c r="O74" s="481">
        <f>ROUND(+$O$22/$O$23/2,0)</f>
        <v>720000</v>
      </c>
      <c r="P74" s="473"/>
      <c r="Q74" s="487"/>
    </row>
    <row r="75" spans="1:17" s="607" customFormat="1" ht="30" x14ac:dyDescent="0.25">
      <c r="A75" s="438"/>
      <c r="B75" s="665"/>
      <c r="C75" s="666" t="s">
        <v>752</v>
      </c>
      <c r="D75" s="665"/>
      <c r="E75" s="665"/>
      <c r="F75" s="665"/>
      <c r="I75" s="666" t="s">
        <v>752</v>
      </c>
      <c r="J75" s="667"/>
      <c r="K75" s="667"/>
      <c r="L75" s="668"/>
      <c r="Q75" s="610"/>
    </row>
    <row r="76" spans="1:17" x14ac:dyDescent="0.25">
      <c r="B76" s="436"/>
      <c r="C76" s="436"/>
      <c r="D76" s="436"/>
      <c r="E76" s="436"/>
      <c r="F76" s="454"/>
      <c r="G76" s="436"/>
      <c r="H76" s="436"/>
      <c r="I76" s="436"/>
      <c r="J76" s="436"/>
      <c r="K76" s="436"/>
      <c r="L76" s="436"/>
      <c r="M76" s="436"/>
      <c r="N76" s="436"/>
      <c r="O76" s="436"/>
      <c r="P76" s="436"/>
    </row>
    <row r="77" spans="1:17" x14ac:dyDescent="0.25">
      <c r="B77" s="436"/>
      <c r="C77" s="436"/>
      <c r="D77" s="436"/>
      <c r="E77" s="436"/>
      <c r="F77" s="454"/>
      <c r="G77" s="436"/>
      <c r="H77" s="436"/>
      <c r="I77" s="436"/>
      <c r="J77" s="436"/>
      <c r="K77" s="436"/>
      <c r="L77" s="436"/>
      <c r="M77" s="436"/>
      <c r="N77" s="436"/>
      <c r="O77" s="436"/>
      <c r="P77" s="436"/>
    </row>
    <row r="78" spans="1:17" x14ac:dyDescent="0.25">
      <c r="B78" s="436"/>
      <c r="C78" s="436"/>
      <c r="D78" s="436"/>
      <c r="E78" s="436"/>
      <c r="F78" s="454"/>
      <c r="G78" s="436"/>
      <c r="H78" s="436"/>
      <c r="I78" s="436"/>
      <c r="J78" s="436"/>
      <c r="K78" s="436"/>
      <c r="L78" s="436"/>
      <c r="M78" s="436"/>
      <c r="N78" s="436"/>
      <c r="O78" s="436"/>
      <c r="P78" s="436"/>
    </row>
    <row r="79" spans="1:17" x14ac:dyDescent="0.25">
      <c r="B79" s="436"/>
      <c r="C79" s="436"/>
      <c r="D79" s="436"/>
      <c r="E79" s="436"/>
      <c r="F79" s="454"/>
      <c r="G79" s="436"/>
      <c r="H79" s="436"/>
      <c r="I79" s="436"/>
      <c r="J79" s="436"/>
      <c r="K79" s="436"/>
      <c r="L79" s="436"/>
      <c r="M79" s="436"/>
      <c r="N79" s="436"/>
      <c r="O79" s="436"/>
      <c r="P79" s="436"/>
    </row>
    <row r="80" spans="1:17" x14ac:dyDescent="0.25">
      <c r="B80" s="436"/>
      <c r="C80" s="436"/>
      <c r="D80" s="436"/>
      <c r="E80" s="436"/>
      <c r="F80" s="454"/>
      <c r="G80" s="436"/>
      <c r="H80" s="436"/>
      <c r="I80" s="436"/>
      <c r="J80" s="436"/>
      <c r="K80" s="436"/>
      <c r="L80" s="436"/>
      <c r="M80" s="436"/>
      <c r="N80" s="436"/>
      <c r="O80" s="436"/>
      <c r="P80" s="436"/>
    </row>
    <row r="81" spans="2:16" x14ac:dyDescent="0.25">
      <c r="B81" s="436"/>
      <c r="C81" s="436"/>
      <c r="D81" s="436"/>
      <c r="E81" s="436"/>
      <c r="F81" s="454"/>
      <c r="G81" s="436"/>
      <c r="H81" s="436"/>
      <c r="I81" s="436"/>
      <c r="J81" s="436"/>
      <c r="K81" s="436"/>
      <c r="L81" s="436"/>
      <c r="M81" s="436"/>
      <c r="N81" s="436"/>
      <c r="O81" s="436"/>
      <c r="P81" s="436"/>
    </row>
    <row r="82" spans="2:16" x14ac:dyDescent="0.25">
      <c r="B82" s="436"/>
      <c r="C82" s="436"/>
      <c r="D82" s="436"/>
      <c r="E82" s="436"/>
      <c r="F82" s="454"/>
      <c r="G82" s="436"/>
      <c r="H82" s="436"/>
      <c r="I82" s="436"/>
      <c r="J82" s="436"/>
      <c r="K82" s="436"/>
      <c r="L82" s="436"/>
      <c r="M82" s="436"/>
      <c r="N82" s="436"/>
      <c r="O82" s="436"/>
      <c r="P82" s="436"/>
    </row>
    <row r="83" spans="2:16" x14ac:dyDescent="0.25">
      <c r="B83" s="436"/>
      <c r="C83" s="436"/>
      <c r="D83" s="436"/>
      <c r="E83" s="436"/>
      <c r="F83" s="454"/>
      <c r="G83" s="436"/>
      <c r="H83" s="436"/>
      <c r="I83" s="436"/>
      <c r="J83" s="436"/>
      <c r="K83" s="436"/>
      <c r="L83" s="436"/>
      <c r="M83" s="436"/>
      <c r="N83" s="436"/>
      <c r="O83" s="436"/>
      <c r="P83" s="436"/>
    </row>
    <row r="84" spans="2:16" x14ac:dyDescent="0.25">
      <c r="B84" s="436"/>
      <c r="C84" s="436"/>
      <c r="D84" s="436"/>
      <c r="E84" s="436"/>
      <c r="F84" s="454"/>
      <c r="G84" s="436"/>
      <c r="H84" s="436"/>
      <c r="I84" s="436"/>
      <c r="J84" s="436"/>
      <c r="K84" s="436"/>
      <c r="L84" s="436"/>
      <c r="M84" s="436"/>
      <c r="N84" s="436"/>
      <c r="O84" s="436"/>
      <c r="P84" s="436"/>
    </row>
    <row r="85" spans="2:16" x14ac:dyDescent="0.25">
      <c r="B85" s="436"/>
      <c r="C85" s="436"/>
      <c r="D85" s="436"/>
      <c r="E85" s="436"/>
      <c r="F85" s="454"/>
      <c r="G85" s="436"/>
      <c r="H85" s="436"/>
      <c r="I85" s="436"/>
      <c r="J85" s="436"/>
      <c r="K85" s="436"/>
      <c r="L85" s="436"/>
      <c r="M85" s="436"/>
      <c r="N85" s="436"/>
      <c r="O85" s="436"/>
      <c r="P85" s="436"/>
    </row>
    <row r="86" spans="2:16" x14ac:dyDescent="0.25">
      <c r="B86" s="436"/>
      <c r="C86" s="436"/>
      <c r="D86" s="436"/>
      <c r="E86" s="436"/>
      <c r="F86" s="454"/>
      <c r="G86" s="436"/>
      <c r="H86" s="436"/>
      <c r="I86" s="436"/>
      <c r="J86" s="436"/>
      <c r="K86" s="436"/>
      <c r="L86" s="436"/>
      <c r="M86" s="436"/>
      <c r="N86" s="436"/>
      <c r="O86" s="436"/>
      <c r="P86" s="436"/>
    </row>
    <row r="87" spans="2:16" x14ac:dyDescent="0.25">
      <c r="B87" s="436"/>
      <c r="C87" s="436"/>
      <c r="D87" s="436"/>
      <c r="E87" s="436"/>
      <c r="F87" s="454"/>
      <c r="G87" s="436"/>
      <c r="H87" s="436"/>
      <c r="I87" s="436"/>
      <c r="J87" s="436"/>
      <c r="K87" s="436"/>
      <c r="L87" s="436"/>
      <c r="M87" s="436"/>
      <c r="N87" s="436"/>
      <c r="O87" s="436"/>
      <c r="P87" s="436"/>
    </row>
    <row r="88" spans="2:16" x14ac:dyDescent="0.25">
      <c r="B88" s="436"/>
      <c r="C88" s="436"/>
      <c r="D88" s="436"/>
      <c r="E88" s="436"/>
      <c r="F88" s="454"/>
      <c r="G88" s="436"/>
      <c r="H88" s="436"/>
      <c r="I88" s="436"/>
      <c r="J88" s="436"/>
      <c r="K88" s="436"/>
      <c r="L88" s="436"/>
      <c r="M88" s="436"/>
      <c r="N88" s="436"/>
      <c r="O88" s="436"/>
      <c r="P88" s="436"/>
    </row>
    <row r="89" spans="2:16" x14ac:dyDescent="0.25">
      <c r="B89" s="436"/>
      <c r="C89" s="436"/>
      <c r="D89" s="436"/>
      <c r="E89" s="436"/>
      <c r="F89" s="454"/>
      <c r="G89" s="436"/>
      <c r="H89" s="436"/>
      <c r="I89" s="436"/>
      <c r="J89" s="436"/>
      <c r="K89" s="436"/>
      <c r="L89" s="436"/>
      <c r="M89" s="436"/>
      <c r="N89" s="436"/>
      <c r="O89" s="436"/>
      <c r="P89" s="436"/>
    </row>
    <row r="90" spans="2:16" x14ac:dyDescent="0.25">
      <c r="B90" s="436"/>
      <c r="C90" s="436"/>
      <c r="D90" s="436"/>
      <c r="E90" s="436"/>
      <c r="F90" s="454"/>
      <c r="G90" s="436"/>
      <c r="H90" s="436"/>
      <c r="I90" s="436"/>
      <c r="J90" s="436"/>
      <c r="K90" s="436"/>
      <c r="L90" s="436"/>
      <c r="M90" s="436"/>
      <c r="N90" s="436"/>
      <c r="O90" s="436"/>
      <c r="P90" s="436"/>
    </row>
    <row r="91" spans="2:16" x14ac:dyDescent="0.25">
      <c r="B91" s="436"/>
      <c r="C91" s="436"/>
      <c r="D91" s="436"/>
      <c r="E91" s="436"/>
      <c r="F91" s="454"/>
      <c r="G91" s="436"/>
      <c r="H91" s="436"/>
      <c r="I91" s="436"/>
      <c r="J91" s="436"/>
      <c r="K91" s="436"/>
      <c r="L91" s="436"/>
      <c r="M91" s="436"/>
      <c r="N91" s="436"/>
      <c r="O91" s="436"/>
      <c r="P91" s="436"/>
    </row>
    <row r="92" spans="2:16" x14ac:dyDescent="0.25">
      <c r="B92" s="436"/>
      <c r="C92" s="436"/>
      <c r="D92" s="436"/>
      <c r="E92" s="436"/>
      <c r="F92" s="454"/>
      <c r="G92" s="436"/>
      <c r="H92" s="436"/>
      <c r="I92" s="436"/>
      <c r="J92" s="436"/>
      <c r="K92" s="436"/>
      <c r="L92" s="436"/>
      <c r="M92" s="436"/>
      <c r="N92" s="436"/>
      <c r="O92" s="436"/>
      <c r="P92" s="436"/>
    </row>
    <row r="93" spans="2:16" x14ac:dyDescent="0.25">
      <c r="B93" s="436"/>
      <c r="C93" s="436"/>
      <c r="D93" s="436"/>
      <c r="E93" s="436"/>
      <c r="F93" s="454"/>
      <c r="G93" s="436"/>
      <c r="H93" s="436"/>
      <c r="I93" s="436"/>
      <c r="J93" s="436"/>
      <c r="K93" s="436"/>
      <c r="L93" s="436"/>
      <c r="M93" s="436"/>
      <c r="N93" s="436"/>
      <c r="O93" s="436"/>
      <c r="P93" s="436"/>
    </row>
    <row r="94" spans="2:16" x14ac:dyDescent="0.25">
      <c r="B94" s="436"/>
      <c r="C94" s="436"/>
      <c r="D94" s="436"/>
      <c r="E94" s="436"/>
      <c r="F94" s="454"/>
      <c r="G94" s="436"/>
      <c r="H94" s="436"/>
      <c r="I94" s="436"/>
      <c r="J94" s="436"/>
      <c r="K94" s="436"/>
      <c r="L94" s="436"/>
      <c r="M94" s="436"/>
      <c r="N94" s="436"/>
      <c r="O94" s="436"/>
      <c r="P94" s="436"/>
    </row>
    <row r="95" spans="2:16" x14ac:dyDescent="0.25">
      <c r="B95" s="436"/>
      <c r="C95" s="436"/>
      <c r="D95" s="436"/>
      <c r="E95" s="436"/>
      <c r="F95" s="454"/>
      <c r="G95" s="436"/>
      <c r="H95" s="436"/>
      <c r="I95" s="436"/>
      <c r="J95" s="436"/>
      <c r="K95" s="436"/>
      <c r="L95" s="436"/>
      <c r="M95" s="436"/>
      <c r="N95" s="436"/>
      <c r="O95" s="436"/>
      <c r="P95" s="436"/>
    </row>
    <row r="96" spans="2:16" x14ac:dyDescent="0.25">
      <c r="B96" s="436"/>
      <c r="C96" s="436"/>
      <c r="D96" s="436"/>
      <c r="E96" s="436"/>
      <c r="F96" s="454"/>
      <c r="G96" s="436"/>
      <c r="H96" s="436"/>
      <c r="I96" s="436"/>
      <c r="J96" s="436"/>
      <c r="K96" s="436"/>
      <c r="L96" s="436"/>
      <c r="M96" s="436"/>
      <c r="N96" s="436"/>
      <c r="O96" s="436"/>
      <c r="P96" s="436"/>
    </row>
    <row r="97" spans="2:16" x14ac:dyDescent="0.25">
      <c r="B97" s="436"/>
      <c r="C97" s="436"/>
      <c r="D97" s="436"/>
      <c r="E97" s="436"/>
      <c r="F97" s="454"/>
      <c r="G97" s="436"/>
      <c r="H97" s="436"/>
      <c r="I97" s="436"/>
      <c r="J97" s="436"/>
      <c r="K97" s="436"/>
      <c r="L97" s="436"/>
      <c r="M97" s="436"/>
      <c r="N97" s="436"/>
      <c r="O97" s="436"/>
      <c r="P97" s="436"/>
    </row>
    <row r="98" spans="2:16" x14ac:dyDescent="0.25">
      <c r="B98" s="436"/>
      <c r="C98" s="436"/>
      <c r="D98" s="436"/>
      <c r="E98" s="436"/>
      <c r="F98" s="454"/>
      <c r="G98" s="436"/>
      <c r="H98" s="436"/>
      <c r="I98" s="436"/>
      <c r="J98" s="436"/>
      <c r="K98" s="436"/>
      <c r="L98" s="436"/>
      <c r="M98" s="436"/>
      <c r="N98" s="436"/>
      <c r="O98" s="436"/>
      <c r="P98" s="436"/>
    </row>
    <row r="99" spans="2:16" x14ac:dyDescent="0.25">
      <c r="B99" s="436"/>
      <c r="C99" s="436"/>
      <c r="D99" s="436"/>
      <c r="E99" s="436"/>
      <c r="F99" s="454"/>
      <c r="G99" s="436"/>
      <c r="H99" s="436"/>
      <c r="I99" s="436"/>
      <c r="J99" s="436"/>
      <c r="K99" s="436"/>
      <c r="L99" s="436"/>
      <c r="M99" s="436"/>
      <c r="N99" s="436"/>
      <c r="O99" s="436"/>
      <c r="P99" s="436"/>
    </row>
    <row r="100" spans="2:16" x14ac:dyDescent="0.25">
      <c r="B100" s="436"/>
      <c r="C100" s="436"/>
      <c r="D100" s="436"/>
      <c r="E100" s="436"/>
      <c r="F100" s="454"/>
      <c r="G100" s="436"/>
      <c r="H100" s="436"/>
      <c r="I100" s="436"/>
      <c r="J100" s="436"/>
      <c r="K100" s="436"/>
      <c r="L100" s="436"/>
      <c r="M100" s="436"/>
      <c r="N100" s="436"/>
      <c r="O100" s="436"/>
      <c r="P100" s="436"/>
    </row>
    <row r="101" spans="2:16" x14ac:dyDescent="0.25">
      <c r="B101" s="436"/>
      <c r="C101" s="436"/>
      <c r="D101" s="436"/>
      <c r="E101" s="436"/>
      <c r="F101" s="454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</row>
    <row r="102" spans="2:16" x14ac:dyDescent="0.25">
      <c r="B102" s="436"/>
      <c r="C102" s="436"/>
      <c r="D102" s="436"/>
      <c r="E102" s="436"/>
      <c r="F102" s="454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</row>
    <row r="103" spans="2:16" x14ac:dyDescent="0.25">
      <c r="B103" s="436"/>
      <c r="C103" s="436"/>
      <c r="D103" s="436"/>
      <c r="E103" s="436"/>
      <c r="F103" s="454"/>
      <c r="G103" s="436"/>
      <c r="H103" s="436"/>
      <c r="I103" s="436"/>
      <c r="J103" s="436"/>
      <c r="K103" s="436"/>
      <c r="L103" s="436"/>
      <c r="M103" s="436"/>
      <c r="N103" s="436"/>
      <c r="O103" s="436"/>
      <c r="P103" s="436"/>
    </row>
    <row r="104" spans="2:16" x14ac:dyDescent="0.25">
      <c r="B104" s="436"/>
      <c r="C104" s="436"/>
      <c r="D104" s="436"/>
      <c r="E104" s="436"/>
      <c r="F104" s="454"/>
      <c r="G104" s="436"/>
      <c r="H104" s="436"/>
      <c r="I104" s="436"/>
      <c r="J104" s="436"/>
      <c r="K104" s="436"/>
      <c r="L104" s="436"/>
      <c r="M104" s="436"/>
      <c r="N104" s="436"/>
      <c r="O104" s="436"/>
      <c r="P104" s="436"/>
    </row>
    <row r="105" spans="2:16" x14ac:dyDescent="0.25">
      <c r="B105" s="436"/>
      <c r="C105" s="436"/>
      <c r="D105" s="436"/>
      <c r="E105" s="436"/>
      <c r="F105" s="454"/>
      <c r="G105" s="436"/>
      <c r="H105" s="436"/>
      <c r="I105" s="436"/>
      <c r="J105" s="436"/>
      <c r="K105" s="436"/>
      <c r="L105" s="436"/>
      <c r="M105" s="436"/>
      <c r="N105" s="436"/>
      <c r="O105" s="436"/>
      <c r="P105" s="436"/>
    </row>
    <row r="106" spans="2:16" x14ac:dyDescent="0.25">
      <c r="B106" s="436"/>
      <c r="C106" s="436"/>
      <c r="D106" s="436"/>
      <c r="E106" s="436"/>
      <c r="F106" s="454"/>
      <c r="G106" s="436"/>
      <c r="H106" s="436"/>
      <c r="I106" s="436"/>
      <c r="J106" s="436"/>
      <c r="K106" s="436"/>
      <c r="L106" s="436"/>
      <c r="M106" s="436"/>
      <c r="N106" s="436"/>
      <c r="O106" s="436"/>
      <c r="P106" s="436"/>
    </row>
    <row r="107" spans="2:16" x14ac:dyDescent="0.25">
      <c r="B107" s="436"/>
      <c r="C107" s="436"/>
      <c r="D107" s="436"/>
      <c r="E107" s="436"/>
      <c r="F107" s="454"/>
      <c r="G107" s="436"/>
      <c r="H107" s="436"/>
      <c r="I107" s="436"/>
      <c r="J107" s="436"/>
      <c r="K107" s="436"/>
      <c r="L107" s="436"/>
      <c r="M107" s="436"/>
      <c r="N107" s="436"/>
      <c r="O107" s="436"/>
      <c r="P107" s="436"/>
    </row>
    <row r="108" spans="2:16" x14ac:dyDescent="0.25">
      <c r="B108" s="436"/>
      <c r="C108" s="436"/>
      <c r="D108" s="436"/>
      <c r="E108" s="436"/>
      <c r="F108" s="454"/>
      <c r="G108" s="436"/>
      <c r="H108" s="436"/>
      <c r="I108" s="436"/>
      <c r="J108" s="436"/>
      <c r="K108" s="436"/>
      <c r="L108" s="436"/>
      <c r="M108" s="436"/>
      <c r="N108" s="436"/>
      <c r="O108" s="436"/>
      <c r="P108" s="436"/>
    </row>
    <row r="109" spans="2:16" x14ac:dyDescent="0.25">
      <c r="B109" s="436"/>
      <c r="C109" s="436"/>
      <c r="D109" s="436"/>
      <c r="E109" s="436"/>
      <c r="F109" s="454"/>
      <c r="G109" s="436"/>
      <c r="H109" s="436"/>
      <c r="I109" s="436"/>
      <c r="J109" s="436"/>
      <c r="K109" s="436"/>
      <c r="L109" s="436"/>
      <c r="M109" s="436"/>
      <c r="N109" s="436"/>
      <c r="O109" s="436"/>
      <c r="P109" s="436"/>
    </row>
    <row r="110" spans="2:16" x14ac:dyDescent="0.25">
      <c r="B110" s="436"/>
      <c r="C110" s="436"/>
      <c r="D110" s="436"/>
      <c r="E110" s="436"/>
      <c r="F110" s="454"/>
      <c r="G110" s="436"/>
      <c r="H110" s="436"/>
      <c r="I110" s="436"/>
      <c r="J110" s="436"/>
      <c r="K110" s="436"/>
      <c r="L110" s="436"/>
      <c r="M110" s="436"/>
      <c r="N110" s="436"/>
      <c r="O110" s="436"/>
      <c r="P110" s="436"/>
    </row>
    <row r="111" spans="2:16" x14ac:dyDescent="0.25">
      <c r="B111" s="436"/>
      <c r="C111" s="436"/>
      <c r="D111" s="436"/>
      <c r="E111" s="436"/>
      <c r="F111" s="454"/>
      <c r="G111" s="436"/>
      <c r="H111" s="436"/>
      <c r="I111" s="436"/>
      <c r="J111" s="436"/>
      <c r="K111" s="436"/>
      <c r="L111" s="436"/>
      <c r="M111" s="436"/>
      <c r="N111" s="436"/>
      <c r="O111" s="436"/>
      <c r="P111" s="436"/>
    </row>
    <row r="112" spans="2:16" x14ac:dyDescent="0.25">
      <c r="B112" s="436"/>
      <c r="C112" s="436"/>
      <c r="D112" s="436"/>
      <c r="E112" s="436"/>
      <c r="F112" s="454"/>
      <c r="G112" s="436"/>
      <c r="H112" s="436"/>
      <c r="I112" s="436"/>
      <c r="J112" s="436"/>
      <c r="K112" s="436"/>
      <c r="L112" s="436"/>
      <c r="M112" s="436"/>
      <c r="N112" s="436"/>
      <c r="O112" s="436"/>
      <c r="P112" s="436"/>
    </row>
    <row r="113" spans="2:16" x14ac:dyDescent="0.25">
      <c r="B113" s="436"/>
      <c r="C113" s="436"/>
      <c r="D113" s="436"/>
      <c r="E113" s="436"/>
      <c r="F113" s="454"/>
      <c r="G113" s="436"/>
      <c r="H113" s="436"/>
      <c r="I113" s="436"/>
      <c r="J113" s="436"/>
      <c r="K113" s="436"/>
      <c r="L113" s="436"/>
      <c r="M113" s="436"/>
      <c r="N113" s="436"/>
      <c r="O113" s="436"/>
      <c r="P113" s="436"/>
    </row>
    <row r="114" spans="2:16" x14ac:dyDescent="0.25">
      <c r="B114" s="436"/>
      <c r="C114" s="436"/>
      <c r="D114" s="436"/>
      <c r="E114" s="436"/>
      <c r="F114" s="454"/>
      <c r="G114" s="436"/>
      <c r="H114" s="436"/>
      <c r="I114" s="436"/>
      <c r="J114" s="436"/>
      <c r="K114" s="436"/>
      <c r="L114" s="436"/>
      <c r="M114" s="436"/>
      <c r="N114" s="436"/>
      <c r="O114" s="436"/>
      <c r="P114" s="436"/>
    </row>
    <row r="115" spans="2:16" x14ac:dyDescent="0.25">
      <c r="B115" s="436"/>
      <c r="C115" s="436"/>
      <c r="D115" s="436"/>
      <c r="E115" s="436"/>
      <c r="F115" s="454"/>
      <c r="G115" s="436"/>
      <c r="H115" s="436"/>
      <c r="I115" s="436"/>
      <c r="J115" s="436"/>
      <c r="K115" s="436"/>
      <c r="L115" s="436"/>
      <c r="M115" s="436"/>
      <c r="N115" s="436"/>
      <c r="O115" s="436"/>
      <c r="P115" s="436"/>
    </row>
    <row r="116" spans="2:16" x14ac:dyDescent="0.25">
      <c r="B116" s="436"/>
      <c r="C116" s="436"/>
      <c r="D116" s="436"/>
      <c r="E116" s="436"/>
      <c r="F116" s="454"/>
      <c r="G116" s="436"/>
      <c r="H116" s="436"/>
      <c r="I116" s="436"/>
      <c r="J116" s="436"/>
      <c r="K116" s="436"/>
      <c r="L116" s="436"/>
      <c r="M116" s="436"/>
      <c r="N116" s="436"/>
      <c r="O116" s="436"/>
      <c r="P116" s="436"/>
    </row>
    <row r="117" spans="2:16" x14ac:dyDescent="0.25">
      <c r="B117" s="436"/>
      <c r="C117" s="436"/>
      <c r="D117" s="436"/>
      <c r="E117" s="436"/>
      <c r="F117" s="454"/>
      <c r="G117" s="436"/>
      <c r="H117" s="436"/>
      <c r="I117" s="436"/>
      <c r="J117" s="436"/>
      <c r="K117" s="436"/>
      <c r="L117" s="436"/>
      <c r="M117" s="436"/>
      <c r="N117" s="436"/>
      <c r="O117" s="436"/>
      <c r="P117" s="436"/>
    </row>
    <row r="118" spans="2:16" x14ac:dyDescent="0.25">
      <c r="B118" s="436"/>
      <c r="C118" s="436"/>
      <c r="D118" s="436"/>
      <c r="E118" s="436"/>
      <c r="F118" s="454"/>
      <c r="G118" s="436"/>
      <c r="H118" s="436"/>
      <c r="I118" s="436"/>
      <c r="J118" s="436"/>
      <c r="K118" s="436"/>
      <c r="L118" s="436"/>
      <c r="M118" s="436"/>
      <c r="N118" s="436"/>
      <c r="O118" s="436"/>
      <c r="P118" s="436"/>
    </row>
    <row r="119" spans="2:16" x14ac:dyDescent="0.25">
      <c r="B119" s="436"/>
      <c r="C119" s="436"/>
      <c r="D119" s="436"/>
      <c r="E119" s="436"/>
      <c r="F119" s="454"/>
      <c r="G119" s="436"/>
      <c r="H119" s="436"/>
      <c r="I119" s="436"/>
      <c r="J119" s="436"/>
      <c r="K119" s="436"/>
      <c r="L119" s="436"/>
      <c r="M119" s="436"/>
      <c r="N119" s="436"/>
      <c r="O119" s="436"/>
      <c r="P119" s="436"/>
    </row>
    <row r="120" spans="2:16" x14ac:dyDescent="0.25">
      <c r="B120" s="436"/>
      <c r="C120" s="436"/>
      <c r="D120" s="436"/>
      <c r="E120" s="436"/>
      <c r="F120" s="454"/>
      <c r="G120" s="436"/>
      <c r="H120" s="436"/>
      <c r="I120" s="436"/>
      <c r="J120" s="436"/>
      <c r="K120" s="436"/>
      <c r="L120" s="436"/>
      <c r="M120" s="436"/>
      <c r="N120" s="436"/>
      <c r="O120" s="436"/>
      <c r="P120" s="436"/>
    </row>
    <row r="121" spans="2:16" x14ac:dyDescent="0.25">
      <c r="B121" s="436"/>
      <c r="C121" s="436"/>
      <c r="D121" s="436"/>
      <c r="E121" s="436"/>
      <c r="F121" s="454"/>
      <c r="G121" s="436"/>
      <c r="H121" s="436"/>
      <c r="I121" s="436"/>
      <c r="J121" s="436"/>
      <c r="K121" s="436"/>
      <c r="L121" s="436"/>
      <c r="M121" s="436"/>
      <c r="N121" s="436"/>
      <c r="O121" s="436"/>
      <c r="P121" s="436"/>
    </row>
    <row r="122" spans="2:16" x14ac:dyDescent="0.25">
      <c r="B122" s="436"/>
      <c r="C122" s="436"/>
      <c r="D122" s="436"/>
      <c r="E122" s="436"/>
      <c r="F122" s="454"/>
      <c r="G122" s="436"/>
      <c r="H122" s="436"/>
      <c r="I122" s="436"/>
      <c r="J122" s="436"/>
      <c r="K122" s="436"/>
      <c r="L122" s="436"/>
      <c r="M122" s="436"/>
      <c r="N122" s="436"/>
      <c r="O122" s="436"/>
      <c r="P122" s="436"/>
    </row>
    <row r="123" spans="2:16" x14ac:dyDescent="0.25">
      <c r="B123" s="436"/>
      <c r="C123" s="436"/>
      <c r="D123" s="436"/>
      <c r="E123" s="436"/>
      <c r="F123" s="454"/>
      <c r="G123" s="436"/>
      <c r="H123" s="436"/>
      <c r="I123" s="436"/>
      <c r="J123" s="436"/>
      <c r="K123" s="436"/>
      <c r="L123" s="436"/>
      <c r="M123" s="436"/>
      <c r="N123" s="436"/>
      <c r="O123" s="436"/>
      <c r="P123" s="436"/>
    </row>
    <row r="124" spans="2:16" x14ac:dyDescent="0.25">
      <c r="B124" s="436"/>
      <c r="C124" s="436"/>
      <c r="D124" s="436"/>
      <c r="E124" s="436"/>
      <c r="F124" s="454"/>
      <c r="G124" s="436"/>
      <c r="H124" s="436"/>
      <c r="I124" s="436"/>
      <c r="J124" s="436"/>
      <c r="K124" s="436"/>
      <c r="L124" s="436"/>
      <c r="M124" s="436"/>
      <c r="N124" s="436"/>
      <c r="O124" s="436"/>
      <c r="P124" s="436"/>
    </row>
    <row r="125" spans="2:16" x14ac:dyDescent="0.25">
      <c r="B125" s="436"/>
      <c r="C125" s="436"/>
      <c r="D125" s="436"/>
      <c r="E125" s="436"/>
      <c r="F125" s="454"/>
      <c r="G125" s="436"/>
      <c r="H125" s="436"/>
      <c r="I125" s="436"/>
      <c r="J125" s="436"/>
      <c r="K125" s="436"/>
      <c r="L125" s="436"/>
      <c r="M125" s="436"/>
      <c r="N125" s="436"/>
      <c r="O125" s="436"/>
      <c r="P125" s="436"/>
    </row>
    <row r="126" spans="2:16" x14ac:dyDescent="0.25">
      <c r="B126" s="436"/>
      <c r="C126" s="436"/>
      <c r="D126" s="436"/>
      <c r="E126" s="436"/>
      <c r="F126" s="454"/>
      <c r="G126" s="436"/>
      <c r="H126" s="436"/>
      <c r="I126" s="436"/>
      <c r="J126" s="436"/>
      <c r="K126" s="436"/>
      <c r="L126" s="436"/>
      <c r="M126" s="436"/>
      <c r="N126" s="436"/>
      <c r="O126" s="436"/>
      <c r="P126" s="436"/>
    </row>
    <row r="127" spans="2:16" x14ac:dyDescent="0.25">
      <c r="B127" s="436"/>
      <c r="C127" s="436"/>
      <c r="D127" s="436"/>
      <c r="E127" s="436"/>
      <c r="F127" s="454"/>
      <c r="G127" s="436"/>
      <c r="H127" s="436"/>
      <c r="I127" s="436"/>
      <c r="J127" s="436"/>
      <c r="K127" s="436"/>
      <c r="L127" s="436"/>
      <c r="M127" s="436"/>
      <c r="N127" s="436"/>
      <c r="O127" s="436"/>
      <c r="P127" s="436"/>
    </row>
    <row r="128" spans="2:16" x14ac:dyDescent="0.25">
      <c r="B128" s="436"/>
      <c r="C128" s="436"/>
      <c r="D128" s="436"/>
      <c r="E128" s="436"/>
      <c r="F128" s="454"/>
      <c r="G128" s="436"/>
      <c r="H128" s="436"/>
      <c r="I128" s="436"/>
      <c r="J128" s="436"/>
      <c r="K128" s="436"/>
      <c r="L128" s="436"/>
      <c r="M128" s="436"/>
      <c r="N128" s="436"/>
      <c r="O128" s="436"/>
      <c r="P128" s="436"/>
    </row>
    <row r="129" spans="2:16" x14ac:dyDescent="0.25">
      <c r="B129" s="436"/>
      <c r="C129" s="436"/>
      <c r="D129" s="436"/>
      <c r="E129" s="436"/>
      <c r="F129" s="454"/>
      <c r="G129" s="436"/>
      <c r="H129" s="436"/>
      <c r="I129" s="436"/>
      <c r="J129" s="436"/>
      <c r="K129" s="436"/>
      <c r="L129" s="436"/>
      <c r="M129" s="436"/>
      <c r="N129" s="436"/>
      <c r="O129" s="436"/>
      <c r="P129" s="436"/>
    </row>
    <row r="130" spans="2:16" x14ac:dyDescent="0.25">
      <c r="B130" s="436"/>
      <c r="C130" s="436"/>
      <c r="D130" s="436"/>
      <c r="E130" s="436"/>
      <c r="F130" s="454"/>
      <c r="G130" s="436"/>
      <c r="H130" s="436"/>
      <c r="I130" s="436"/>
      <c r="J130" s="436"/>
      <c r="K130" s="436"/>
      <c r="L130" s="436"/>
      <c r="M130" s="436"/>
      <c r="N130" s="436"/>
      <c r="O130" s="436"/>
      <c r="P130" s="436"/>
    </row>
    <row r="131" spans="2:16" x14ac:dyDescent="0.25">
      <c r="B131" s="436"/>
      <c r="C131" s="436"/>
      <c r="D131" s="436"/>
      <c r="E131" s="436"/>
      <c r="F131" s="454"/>
      <c r="G131" s="436"/>
      <c r="H131" s="436"/>
      <c r="I131" s="436"/>
      <c r="J131" s="436"/>
      <c r="K131" s="436"/>
      <c r="L131" s="436"/>
      <c r="M131" s="436"/>
      <c r="N131" s="436"/>
      <c r="O131" s="436"/>
      <c r="P131" s="436"/>
    </row>
    <row r="132" spans="2:16" x14ac:dyDescent="0.25">
      <c r="B132" s="436"/>
      <c r="C132" s="436"/>
      <c r="D132" s="436"/>
      <c r="E132" s="436"/>
      <c r="F132" s="454"/>
      <c r="G132" s="436"/>
      <c r="H132" s="436"/>
      <c r="I132" s="436"/>
      <c r="J132" s="436"/>
      <c r="K132" s="436"/>
      <c r="L132" s="436"/>
      <c r="M132" s="436"/>
      <c r="N132" s="436"/>
      <c r="O132" s="436"/>
      <c r="P132" s="436"/>
    </row>
    <row r="133" spans="2:16" x14ac:dyDescent="0.25">
      <c r="B133" s="436"/>
      <c r="C133" s="436"/>
      <c r="D133" s="436"/>
      <c r="E133" s="436"/>
      <c r="F133" s="454"/>
      <c r="G133" s="436"/>
      <c r="H133" s="436"/>
      <c r="I133" s="436"/>
      <c r="J133" s="436"/>
      <c r="K133" s="436"/>
      <c r="L133" s="436"/>
      <c r="M133" s="436"/>
      <c r="N133" s="436"/>
      <c r="O133" s="436"/>
      <c r="P133" s="436"/>
    </row>
    <row r="134" spans="2:16" x14ac:dyDescent="0.25">
      <c r="B134" s="436"/>
      <c r="C134" s="436"/>
      <c r="D134" s="436"/>
      <c r="E134" s="436"/>
      <c r="F134" s="454"/>
      <c r="G134" s="436"/>
      <c r="H134" s="436"/>
      <c r="I134" s="436"/>
      <c r="J134" s="436"/>
      <c r="K134" s="436"/>
      <c r="L134" s="436"/>
      <c r="M134" s="436"/>
      <c r="N134" s="436"/>
      <c r="O134" s="436"/>
      <c r="P134" s="436"/>
    </row>
    <row r="135" spans="2:16" x14ac:dyDescent="0.25">
      <c r="B135" s="436"/>
      <c r="C135" s="436"/>
      <c r="D135" s="436"/>
      <c r="E135" s="436"/>
      <c r="F135" s="454"/>
      <c r="G135" s="436"/>
      <c r="H135" s="436"/>
      <c r="I135" s="436"/>
      <c r="J135" s="436"/>
      <c r="K135" s="436"/>
      <c r="L135" s="436"/>
      <c r="M135" s="436"/>
      <c r="N135" s="436"/>
      <c r="O135" s="436"/>
      <c r="P135" s="436"/>
    </row>
    <row r="136" spans="2:16" x14ac:dyDescent="0.25">
      <c r="B136" s="436"/>
      <c r="C136" s="436"/>
      <c r="D136" s="436"/>
      <c r="E136" s="436"/>
      <c r="F136" s="454"/>
      <c r="G136" s="436"/>
      <c r="H136" s="436"/>
      <c r="I136" s="436"/>
      <c r="J136" s="436"/>
      <c r="K136" s="436"/>
      <c r="L136" s="436"/>
      <c r="M136" s="436"/>
      <c r="N136" s="436"/>
      <c r="O136" s="436"/>
      <c r="P136" s="436"/>
    </row>
    <row r="137" spans="2:16" x14ac:dyDescent="0.25">
      <c r="B137" s="436"/>
      <c r="C137" s="436"/>
      <c r="D137" s="436"/>
      <c r="E137" s="436"/>
      <c r="F137" s="454"/>
      <c r="G137" s="436"/>
      <c r="H137" s="436"/>
      <c r="I137" s="436"/>
      <c r="J137" s="436"/>
      <c r="K137" s="436"/>
      <c r="L137" s="436"/>
      <c r="M137" s="436"/>
      <c r="N137" s="436"/>
      <c r="O137" s="436"/>
      <c r="P137" s="436"/>
    </row>
    <row r="138" spans="2:16" x14ac:dyDescent="0.25">
      <c r="B138" s="436"/>
      <c r="C138" s="436"/>
      <c r="D138" s="436"/>
      <c r="E138" s="436"/>
      <c r="F138" s="454"/>
      <c r="G138" s="436"/>
      <c r="H138" s="436"/>
      <c r="I138" s="436"/>
      <c r="J138" s="436"/>
      <c r="K138" s="436"/>
      <c r="L138" s="436"/>
      <c r="M138" s="436"/>
      <c r="N138" s="436"/>
      <c r="O138" s="436"/>
      <c r="P138" s="436"/>
    </row>
    <row r="139" spans="2:16" x14ac:dyDescent="0.25">
      <c r="B139" s="436"/>
      <c r="C139" s="436"/>
      <c r="D139" s="436"/>
      <c r="E139" s="436"/>
      <c r="F139" s="454"/>
      <c r="G139" s="436"/>
      <c r="H139" s="436"/>
      <c r="I139" s="436"/>
      <c r="J139" s="436"/>
      <c r="K139" s="436"/>
      <c r="L139" s="436"/>
      <c r="M139" s="436"/>
      <c r="N139" s="436"/>
      <c r="O139" s="436"/>
      <c r="P139" s="436"/>
    </row>
    <row r="140" spans="2:16" x14ac:dyDescent="0.25">
      <c r="B140" s="436"/>
      <c r="C140" s="436"/>
      <c r="D140" s="436"/>
      <c r="E140" s="436"/>
      <c r="F140" s="454"/>
      <c r="G140" s="436"/>
      <c r="H140" s="436"/>
      <c r="I140" s="436"/>
      <c r="J140" s="436"/>
      <c r="K140" s="436"/>
      <c r="L140" s="436"/>
      <c r="M140" s="436"/>
      <c r="N140" s="436"/>
      <c r="O140" s="436"/>
      <c r="P140" s="436"/>
    </row>
    <row r="141" spans="2:16" x14ac:dyDescent="0.25">
      <c r="B141" s="436"/>
      <c r="C141" s="436"/>
      <c r="D141" s="436"/>
      <c r="E141" s="436"/>
      <c r="F141" s="454"/>
      <c r="G141" s="436"/>
      <c r="H141" s="436"/>
      <c r="I141" s="436"/>
      <c r="J141" s="436"/>
      <c r="K141" s="436"/>
      <c r="L141" s="436"/>
      <c r="M141" s="436"/>
      <c r="N141" s="436"/>
      <c r="O141" s="436"/>
      <c r="P141" s="436"/>
    </row>
    <row r="142" spans="2:16" x14ac:dyDescent="0.25">
      <c r="B142" s="436"/>
      <c r="C142" s="436"/>
      <c r="D142" s="436"/>
      <c r="E142" s="436"/>
      <c r="F142" s="454"/>
      <c r="G142" s="436"/>
      <c r="H142" s="436"/>
      <c r="I142" s="436"/>
      <c r="J142" s="436"/>
      <c r="K142" s="436"/>
      <c r="L142" s="436"/>
      <c r="M142" s="436"/>
      <c r="N142" s="436"/>
      <c r="O142" s="436"/>
      <c r="P142" s="436"/>
    </row>
    <row r="143" spans="2:16" x14ac:dyDescent="0.25">
      <c r="B143" s="436"/>
      <c r="C143" s="436"/>
      <c r="D143" s="436"/>
      <c r="E143" s="436"/>
      <c r="F143" s="454"/>
      <c r="G143" s="436"/>
      <c r="H143" s="436"/>
      <c r="I143" s="436"/>
      <c r="J143" s="436"/>
      <c r="K143" s="436"/>
      <c r="L143" s="436"/>
      <c r="M143" s="436"/>
      <c r="N143" s="436"/>
      <c r="O143" s="436"/>
      <c r="P143" s="436"/>
    </row>
    <row r="144" spans="2:16" x14ac:dyDescent="0.25">
      <c r="B144" s="436"/>
      <c r="C144" s="436"/>
      <c r="D144" s="436"/>
      <c r="E144" s="436"/>
      <c r="F144" s="454"/>
      <c r="G144" s="436"/>
      <c r="H144" s="436"/>
      <c r="I144" s="436"/>
      <c r="J144" s="436"/>
      <c r="K144" s="436"/>
      <c r="L144" s="436"/>
      <c r="M144" s="436"/>
      <c r="N144" s="436"/>
      <c r="O144" s="436"/>
      <c r="P144" s="436"/>
    </row>
    <row r="145" spans="2:16" x14ac:dyDescent="0.25">
      <c r="B145" s="436"/>
      <c r="C145" s="436"/>
      <c r="D145" s="436"/>
      <c r="E145" s="436"/>
      <c r="F145" s="454"/>
      <c r="G145" s="436"/>
      <c r="H145" s="436"/>
      <c r="I145" s="436"/>
      <c r="J145" s="436"/>
      <c r="K145" s="436"/>
      <c r="L145" s="436"/>
      <c r="M145" s="436"/>
      <c r="N145" s="436"/>
      <c r="O145" s="436"/>
      <c r="P145" s="436"/>
    </row>
    <row r="146" spans="2:16" x14ac:dyDescent="0.25">
      <c r="B146" s="436"/>
      <c r="C146" s="436"/>
      <c r="D146" s="436"/>
      <c r="E146" s="436"/>
      <c r="F146" s="454"/>
      <c r="G146" s="436"/>
      <c r="H146" s="436"/>
      <c r="I146" s="436"/>
      <c r="J146" s="436"/>
      <c r="K146" s="436"/>
      <c r="L146" s="436"/>
      <c r="M146" s="436"/>
      <c r="N146" s="436"/>
      <c r="O146" s="436"/>
      <c r="P146" s="436"/>
    </row>
    <row r="147" spans="2:16" x14ac:dyDescent="0.25">
      <c r="B147" s="436"/>
      <c r="C147" s="436"/>
      <c r="D147" s="436"/>
      <c r="E147" s="436"/>
      <c r="F147" s="454"/>
      <c r="G147" s="436"/>
      <c r="H147" s="436"/>
      <c r="I147" s="436"/>
      <c r="J147" s="436"/>
      <c r="K147" s="436"/>
      <c r="L147" s="436"/>
      <c r="M147" s="436"/>
      <c r="N147" s="436"/>
      <c r="O147" s="436"/>
      <c r="P147" s="436"/>
    </row>
    <row r="148" spans="2:16" x14ac:dyDescent="0.25">
      <c r="B148" s="436"/>
      <c r="C148" s="436"/>
      <c r="D148" s="436"/>
      <c r="E148" s="436"/>
      <c r="F148" s="454"/>
      <c r="G148" s="436"/>
      <c r="H148" s="436"/>
      <c r="I148" s="436"/>
      <c r="J148" s="436"/>
      <c r="K148" s="436"/>
      <c r="L148" s="436"/>
      <c r="M148" s="436"/>
      <c r="N148" s="436"/>
      <c r="O148" s="436"/>
      <c r="P148" s="436"/>
    </row>
    <row r="149" spans="2:16" x14ac:dyDescent="0.25">
      <c r="B149" s="436"/>
      <c r="C149" s="436"/>
      <c r="D149" s="436"/>
      <c r="E149" s="436"/>
      <c r="F149" s="454"/>
      <c r="G149" s="436"/>
      <c r="H149" s="436"/>
      <c r="I149" s="436"/>
      <c r="J149" s="436"/>
      <c r="K149" s="436"/>
      <c r="L149" s="436"/>
      <c r="M149" s="436"/>
      <c r="N149" s="436"/>
      <c r="O149" s="436"/>
      <c r="P149" s="436"/>
    </row>
    <row r="150" spans="2:16" x14ac:dyDescent="0.25">
      <c r="B150" s="436"/>
      <c r="C150" s="436"/>
      <c r="D150" s="436"/>
      <c r="E150" s="436"/>
      <c r="F150" s="454"/>
      <c r="G150" s="436"/>
      <c r="H150" s="436"/>
      <c r="I150" s="436"/>
      <c r="J150" s="436"/>
      <c r="K150" s="436"/>
      <c r="L150" s="436"/>
      <c r="M150" s="436"/>
      <c r="N150" s="436"/>
      <c r="O150" s="436"/>
      <c r="P150" s="436"/>
    </row>
    <row r="151" spans="2:16" x14ac:dyDescent="0.25">
      <c r="B151" s="436"/>
      <c r="C151" s="436"/>
      <c r="D151" s="436"/>
      <c r="E151" s="436"/>
      <c r="F151" s="454"/>
      <c r="G151" s="436"/>
      <c r="H151" s="436"/>
      <c r="I151" s="436"/>
      <c r="J151" s="436"/>
      <c r="K151" s="436"/>
      <c r="L151" s="436"/>
      <c r="M151" s="436"/>
      <c r="N151" s="436"/>
      <c r="O151" s="436"/>
      <c r="P151" s="436"/>
    </row>
    <row r="152" spans="2:16" x14ac:dyDescent="0.25">
      <c r="B152" s="436"/>
      <c r="C152" s="436"/>
      <c r="D152" s="436"/>
      <c r="E152" s="436"/>
      <c r="F152" s="454"/>
      <c r="G152" s="436"/>
      <c r="H152" s="436"/>
      <c r="I152" s="436"/>
      <c r="J152" s="436"/>
      <c r="K152" s="436"/>
      <c r="L152" s="436"/>
      <c r="M152" s="436"/>
      <c r="N152" s="436"/>
      <c r="O152" s="436"/>
      <c r="P152" s="436"/>
    </row>
    <row r="153" spans="2:16" x14ac:dyDescent="0.25">
      <c r="B153" s="436"/>
      <c r="C153" s="436"/>
      <c r="D153" s="436"/>
      <c r="E153" s="436"/>
      <c r="F153" s="454"/>
      <c r="G153" s="436"/>
      <c r="H153" s="436"/>
      <c r="I153" s="436"/>
      <c r="J153" s="436"/>
      <c r="K153" s="436"/>
      <c r="L153" s="436"/>
      <c r="M153" s="436"/>
      <c r="N153" s="436"/>
      <c r="O153" s="436"/>
      <c r="P153" s="436"/>
    </row>
    <row r="154" spans="2:16" x14ac:dyDescent="0.25">
      <c r="B154" s="436"/>
      <c r="C154" s="436"/>
      <c r="D154" s="436"/>
      <c r="E154" s="436"/>
      <c r="F154" s="454"/>
      <c r="G154" s="436"/>
      <c r="H154" s="436"/>
      <c r="I154" s="436"/>
      <c r="J154" s="436"/>
      <c r="K154" s="436"/>
      <c r="L154" s="436"/>
      <c r="M154" s="436"/>
      <c r="N154" s="436"/>
      <c r="O154" s="436"/>
      <c r="P154" s="436"/>
    </row>
    <row r="155" spans="2:16" x14ac:dyDescent="0.25">
      <c r="B155" s="436"/>
      <c r="C155" s="436"/>
      <c r="D155" s="436"/>
      <c r="E155" s="436"/>
      <c r="F155" s="454"/>
      <c r="G155" s="436"/>
      <c r="H155" s="436"/>
      <c r="I155" s="436"/>
      <c r="J155" s="436"/>
      <c r="K155" s="436"/>
      <c r="L155" s="436"/>
      <c r="M155" s="436"/>
      <c r="N155" s="436"/>
      <c r="O155" s="436"/>
      <c r="P155" s="436"/>
    </row>
    <row r="156" spans="2:16" x14ac:dyDescent="0.25">
      <c r="B156" s="436"/>
      <c r="C156" s="436"/>
      <c r="D156" s="436"/>
      <c r="E156" s="436"/>
      <c r="F156" s="454"/>
      <c r="G156" s="436"/>
      <c r="H156" s="436"/>
      <c r="I156" s="436"/>
      <c r="J156" s="436"/>
      <c r="K156" s="436"/>
      <c r="L156" s="436"/>
      <c r="M156" s="436"/>
      <c r="N156" s="436"/>
      <c r="O156" s="436"/>
      <c r="P156" s="436"/>
    </row>
    <row r="157" spans="2:16" x14ac:dyDescent="0.25">
      <c r="B157" s="436"/>
      <c r="C157" s="436"/>
      <c r="D157" s="436"/>
      <c r="E157" s="436"/>
      <c r="F157" s="454"/>
      <c r="G157" s="436"/>
      <c r="H157" s="436"/>
      <c r="I157" s="436"/>
      <c r="J157" s="436"/>
      <c r="K157" s="436"/>
      <c r="L157" s="436"/>
      <c r="M157" s="436"/>
      <c r="N157" s="436"/>
      <c r="O157" s="436"/>
      <c r="P157" s="436"/>
    </row>
    <row r="158" spans="2:16" x14ac:dyDescent="0.25">
      <c r="B158" s="436"/>
      <c r="C158" s="436"/>
      <c r="D158" s="436"/>
      <c r="E158" s="436"/>
      <c r="F158" s="454"/>
      <c r="G158" s="436"/>
      <c r="H158" s="436"/>
      <c r="I158" s="436"/>
      <c r="J158" s="436"/>
      <c r="K158" s="436"/>
      <c r="L158" s="436"/>
      <c r="M158" s="436"/>
      <c r="N158" s="436"/>
      <c r="O158" s="436"/>
      <c r="P158" s="436"/>
    </row>
    <row r="159" spans="2:16" x14ac:dyDescent="0.25">
      <c r="B159" s="436"/>
      <c r="C159" s="436"/>
      <c r="D159" s="436"/>
      <c r="E159" s="436"/>
      <c r="F159" s="454"/>
      <c r="G159" s="436"/>
      <c r="H159" s="436"/>
      <c r="I159" s="436"/>
      <c r="J159" s="436"/>
      <c r="K159" s="436"/>
      <c r="L159" s="436"/>
      <c r="M159" s="436"/>
      <c r="N159" s="436"/>
      <c r="O159" s="436"/>
      <c r="P159" s="436"/>
    </row>
    <row r="160" spans="2:16" x14ac:dyDescent="0.25">
      <c r="B160" s="436"/>
      <c r="C160" s="436"/>
      <c r="D160" s="436"/>
      <c r="E160" s="436"/>
      <c r="F160" s="454"/>
      <c r="G160" s="436"/>
      <c r="H160" s="436"/>
      <c r="I160" s="436"/>
      <c r="J160" s="436"/>
      <c r="K160" s="436"/>
      <c r="L160" s="436"/>
      <c r="M160" s="436"/>
      <c r="N160" s="436"/>
      <c r="O160" s="436"/>
      <c r="P160" s="436"/>
    </row>
    <row r="161" spans="2:16" x14ac:dyDescent="0.25">
      <c r="B161" s="436"/>
      <c r="C161" s="436"/>
      <c r="D161" s="436"/>
      <c r="E161" s="436"/>
      <c r="F161" s="454"/>
      <c r="G161" s="436"/>
      <c r="H161" s="436"/>
      <c r="I161" s="436"/>
      <c r="J161" s="436"/>
      <c r="K161" s="436"/>
      <c r="L161" s="436"/>
      <c r="M161" s="436"/>
      <c r="N161" s="436"/>
      <c r="O161" s="436"/>
      <c r="P161" s="436"/>
    </row>
    <row r="162" spans="2:16" x14ac:dyDescent="0.25">
      <c r="B162" s="436"/>
      <c r="C162" s="436"/>
      <c r="D162" s="436"/>
      <c r="E162" s="436"/>
      <c r="F162" s="454"/>
      <c r="G162" s="436"/>
      <c r="H162" s="436"/>
      <c r="I162" s="436"/>
      <c r="J162" s="436"/>
      <c r="K162" s="436"/>
      <c r="L162" s="436"/>
      <c r="M162" s="436"/>
      <c r="N162" s="436"/>
      <c r="O162" s="436"/>
      <c r="P162" s="436"/>
    </row>
    <row r="163" spans="2:16" x14ac:dyDescent="0.25">
      <c r="B163" s="436"/>
      <c r="C163" s="436"/>
      <c r="D163" s="436"/>
      <c r="E163" s="436"/>
      <c r="F163" s="454"/>
      <c r="G163" s="436"/>
      <c r="H163" s="436"/>
      <c r="I163" s="436"/>
      <c r="J163" s="436"/>
      <c r="K163" s="436"/>
      <c r="L163" s="436"/>
      <c r="M163" s="436"/>
      <c r="N163" s="436"/>
      <c r="O163" s="436"/>
      <c r="P163" s="436"/>
    </row>
    <row r="164" spans="2:16" x14ac:dyDescent="0.25">
      <c r="B164" s="436"/>
      <c r="C164" s="436"/>
      <c r="D164" s="436"/>
      <c r="E164" s="436"/>
      <c r="F164" s="454"/>
      <c r="G164" s="436"/>
      <c r="H164" s="436"/>
      <c r="I164" s="436"/>
      <c r="J164" s="436"/>
      <c r="K164" s="436"/>
      <c r="L164" s="436"/>
      <c r="M164" s="436"/>
      <c r="N164" s="436"/>
      <c r="O164" s="436"/>
      <c r="P164" s="436"/>
    </row>
    <row r="165" spans="2:16" x14ac:dyDescent="0.25">
      <c r="B165" s="436"/>
      <c r="C165" s="436"/>
      <c r="D165" s="436"/>
      <c r="E165" s="436"/>
      <c r="F165" s="454"/>
      <c r="G165" s="436"/>
      <c r="H165" s="436"/>
      <c r="I165" s="436"/>
      <c r="J165" s="436"/>
      <c r="K165" s="436"/>
      <c r="L165" s="436"/>
      <c r="M165" s="436"/>
      <c r="N165" s="436"/>
      <c r="O165" s="436"/>
      <c r="P165" s="436"/>
    </row>
    <row r="166" spans="2:16" x14ac:dyDescent="0.25">
      <c r="B166" s="436"/>
      <c r="C166" s="436"/>
      <c r="D166" s="436"/>
      <c r="E166" s="436"/>
      <c r="F166" s="454"/>
      <c r="G166" s="436"/>
      <c r="H166" s="436"/>
      <c r="I166" s="436"/>
      <c r="J166" s="436"/>
      <c r="K166" s="436"/>
      <c r="L166" s="436"/>
      <c r="M166" s="436"/>
      <c r="N166" s="436"/>
      <c r="O166" s="436"/>
      <c r="P166" s="436"/>
    </row>
    <row r="167" spans="2:16" x14ac:dyDescent="0.25">
      <c r="B167" s="436"/>
      <c r="C167" s="436"/>
      <c r="D167" s="436"/>
      <c r="E167" s="436"/>
      <c r="F167" s="454"/>
      <c r="G167" s="436"/>
      <c r="H167" s="436"/>
      <c r="I167" s="436"/>
      <c r="J167" s="436"/>
      <c r="K167" s="436"/>
      <c r="L167" s="436"/>
      <c r="M167" s="436"/>
      <c r="N167" s="436"/>
      <c r="O167" s="436"/>
      <c r="P167" s="436"/>
    </row>
    <row r="168" spans="2:16" x14ac:dyDescent="0.25">
      <c r="B168" s="436"/>
      <c r="C168" s="436"/>
      <c r="D168" s="436"/>
      <c r="E168" s="436"/>
      <c r="F168" s="454"/>
      <c r="G168" s="436"/>
      <c r="H168" s="436"/>
      <c r="I168" s="436"/>
      <c r="J168" s="436"/>
      <c r="K168" s="436"/>
      <c r="L168" s="436"/>
      <c r="M168" s="436"/>
      <c r="N168" s="436"/>
      <c r="O168" s="436"/>
      <c r="P168" s="436"/>
    </row>
    <row r="169" spans="2:16" x14ac:dyDescent="0.25">
      <c r="B169" s="436"/>
      <c r="C169" s="436"/>
      <c r="D169" s="436"/>
      <c r="E169" s="436"/>
      <c r="F169" s="454"/>
      <c r="G169" s="436"/>
      <c r="H169" s="436"/>
      <c r="I169" s="436"/>
      <c r="J169" s="436"/>
      <c r="K169" s="436"/>
      <c r="L169" s="436"/>
      <c r="M169" s="436"/>
      <c r="N169" s="436"/>
      <c r="O169" s="436"/>
      <c r="P169" s="436"/>
    </row>
    <row r="170" spans="2:16" x14ac:dyDescent="0.25">
      <c r="B170" s="436"/>
      <c r="C170" s="436"/>
      <c r="D170" s="436"/>
      <c r="E170" s="436"/>
      <c r="F170" s="454"/>
      <c r="G170" s="436"/>
      <c r="H170" s="436"/>
      <c r="I170" s="436"/>
      <c r="J170" s="436"/>
      <c r="K170" s="436"/>
      <c r="L170" s="436"/>
      <c r="M170" s="436"/>
      <c r="N170" s="436"/>
      <c r="O170" s="436"/>
      <c r="P170" s="436"/>
    </row>
    <row r="171" spans="2:16" x14ac:dyDescent="0.25">
      <c r="B171" s="436"/>
      <c r="C171" s="436"/>
      <c r="D171" s="436"/>
      <c r="E171" s="436"/>
      <c r="F171" s="454"/>
      <c r="G171" s="436"/>
      <c r="H171" s="436"/>
      <c r="I171" s="436"/>
      <c r="J171" s="436"/>
      <c r="K171" s="436"/>
      <c r="L171" s="436"/>
      <c r="M171" s="436"/>
      <c r="N171" s="436"/>
      <c r="O171" s="436"/>
      <c r="P171" s="436"/>
    </row>
    <row r="172" spans="2:16" x14ac:dyDescent="0.25">
      <c r="B172" s="436"/>
      <c r="C172" s="436"/>
      <c r="D172" s="436"/>
      <c r="E172" s="436"/>
      <c r="F172" s="454"/>
      <c r="G172" s="436"/>
      <c r="H172" s="436"/>
      <c r="I172" s="436"/>
      <c r="J172" s="436"/>
      <c r="K172" s="436"/>
      <c r="L172" s="436"/>
      <c r="M172" s="436"/>
      <c r="N172" s="436"/>
      <c r="O172" s="436"/>
      <c r="P172" s="436"/>
    </row>
    <row r="173" spans="2:16" x14ac:dyDescent="0.25">
      <c r="B173" s="436"/>
      <c r="C173" s="436"/>
      <c r="D173" s="436"/>
      <c r="E173" s="436"/>
      <c r="F173" s="454"/>
      <c r="G173" s="436"/>
      <c r="H173" s="436"/>
      <c r="I173" s="436"/>
      <c r="J173" s="436"/>
      <c r="K173" s="436"/>
      <c r="L173" s="436"/>
      <c r="M173" s="436"/>
      <c r="N173" s="436"/>
      <c r="O173" s="436"/>
      <c r="P173" s="436"/>
    </row>
    <row r="174" spans="2:16" x14ac:dyDescent="0.25">
      <c r="B174" s="436"/>
      <c r="C174" s="436"/>
      <c r="D174" s="436"/>
      <c r="E174" s="436"/>
      <c r="F174" s="454"/>
      <c r="G174" s="436"/>
      <c r="H174" s="436"/>
      <c r="I174" s="436"/>
      <c r="J174" s="436"/>
      <c r="K174" s="436"/>
      <c r="L174" s="436"/>
      <c r="M174" s="436"/>
      <c r="N174" s="436"/>
      <c r="O174" s="436"/>
      <c r="P174" s="436"/>
    </row>
    <row r="175" spans="2:16" x14ac:dyDescent="0.25">
      <c r="B175" s="436"/>
      <c r="C175" s="436"/>
      <c r="D175" s="436"/>
      <c r="E175" s="436"/>
      <c r="F175" s="454"/>
      <c r="G175" s="436"/>
      <c r="H175" s="436"/>
      <c r="I175" s="436"/>
      <c r="J175" s="436"/>
      <c r="K175" s="436"/>
      <c r="L175" s="436"/>
      <c r="M175" s="436"/>
      <c r="N175" s="436"/>
      <c r="O175" s="436"/>
      <c r="P175" s="436"/>
    </row>
    <row r="176" spans="2:16" x14ac:dyDescent="0.25">
      <c r="B176" s="436"/>
      <c r="C176" s="436"/>
      <c r="D176" s="436"/>
      <c r="E176" s="436"/>
      <c r="F176" s="454"/>
      <c r="G176" s="436"/>
      <c r="H176" s="436"/>
      <c r="I176" s="436"/>
      <c r="J176" s="436"/>
      <c r="K176" s="436"/>
      <c r="L176" s="436"/>
      <c r="M176" s="436"/>
      <c r="N176" s="436"/>
      <c r="O176" s="436"/>
      <c r="P176" s="436"/>
    </row>
    <row r="177" spans="2:16" x14ac:dyDescent="0.25">
      <c r="B177" s="436"/>
      <c r="C177" s="436"/>
      <c r="D177" s="436"/>
      <c r="E177" s="436"/>
      <c r="F177" s="454"/>
      <c r="G177" s="436"/>
      <c r="H177" s="436"/>
      <c r="I177" s="436"/>
      <c r="J177" s="436"/>
      <c r="K177" s="436"/>
      <c r="L177" s="436"/>
      <c r="M177" s="436"/>
      <c r="N177" s="436"/>
      <c r="O177" s="436"/>
      <c r="P177" s="436"/>
    </row>
    <row r="178" spans="2:16" x14ac:dyDescent="0.25">
      <c r="B178" s="436"/>
      <c r="C178" s="436"/>
      <c r="D178" s="436"/>
      <c r="E178" s="436"/>
      <c r="F178" s="454"/>
      <c r="G178" s="436"/>
      <c r="H178" s="436"/>
      <c r="I178" s="436"/>
      <c r="J178" s="436"/>
      <c r="K178" s="436"/>
      <c r="L178" s="436"/>
      <c r="M178" s="436"/>
      <c r="N178" s="436"/>
      <c r="O178" s="436"/>
      <c r="P178" s="436"/>
    </row>
  </sheetData>
  <mergeCells count="6">
    <mergeCell ref="N19:O21"/>
    <mergeCell ref="B21:B23"/>
    <mergeCell ref="H21:H23"/>
    <mergeCell ref="B10:F10"/>
    <mergeCell ref="H19:L20"/>
    <mergeCell ref="B19:F2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P1"/>
    </sheetView>
  </sheetViews>
  <sheetFormatPr defaultColWidth="9" defaultRowHeight="15.75" x14ac:dyDescent="0.25"/>
  <cols>
    <col min="1" max="1" width="12.140625" style="391" customWidth="1"/>
    <col min="2" max="2" width="5.42578125" style="388" customWidth="1"/>
    <col min="3" max="3" width="6.42578125" style="388" customWidth="1"/>
    <col min="4" max="4" width="42.140625" style="388" customWidth="1"/>
    <col min="5" max="6" width="14" style="388" bestFit="1" customWidth="1"/>
    <col min="7" max="7" width="4.85546875" style="389" customWidth="1"/>
    <col min="8" max="8" width="5.5703125" style="389" customWidth="1"/>
    <col min="9" max="9" width="45" style="389" customWidth="1"/>
    <col min="10" max="11" width="14" style="388" bestFit="1" customWidth="1"/>
    <col min="12" max="12" width="4.7109375" style="389" customWidth="1"/>
    <col min="13" max="13" width="5.5703125" style="389" customWidth="1"/>
    <col min="14" max="14" width="44.140625" style="389" customWidth="1"/>
    <col min="15" max="16" width="14" style="388" bestFit="1" customWidth="1"/>
    <col min="17" max="16384" width="9" style="389"/>
  </cols>
  <sheetData>
    <row r="1" spans="1:17" s="386" customFormat="1" ht="14.65" customHeight="1" x14ac:dyDescent="0.25">
      <c r="A1" s="732" t="s">
        <v>534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</row>
    <row r="2" spans="1:17" x14ac:dyDescent="0.25">
      <c r="A2" s="387" t="s">
        <v>464</v>
      </c>
      <c r="I2" s="390"/>
    </row>
    <row r="3" spans="1:17" x14ac:dyDescent="0.25">
      <c r="B3" s="392"/>
      <c r="C3" s="392"/>
      <c r="D3" s="392"/>
      <c r="E3" s="392"/>
      <c r="F3" s="392"/>
      <c r="G3" s="393"/>
      <c r="H3" s="393"/>
      <c r="I3" s="393"/>
      <c r="J3" s="392"/>
      <c r="K3" s="392"/>
      <c r="L3" s="393"/>
      <c r="M3" s="393"/>
      <c r="N3" s="393"/>
      <c r="O3" s="392"/>
      <c r="P3" s="392"/>
      <c r="Q3" s="393"/>
    </row>
    <row r="4" spans="1:17" ht="15.75" customHeight="1" x14ac:dyDescent="0.25">
      <c r="B4" s="394"/>
      <c r="C4" s="737" t="s">
        <v>19</v>
      </c>
      <c r="D4" s="738"/>
      <c r="E4" s="738"/>
      <c r="F4" s="739"/>
      <c r="G4" s="393"/>
      <c r="H4" s="737" t="s">
        <v>818</v>
      </c>
      <c r="I4" s="738"/>
      <c r="J4" s="738"/>
      <c r="K4" s="739"/>
      <c r="L4" s="393"/>
      <c r="M4" s="737" t="s">
        <v>20</v>
      </c>
      <c r="N4" s="738"/>
      <c r="O4" s="738"/>
      <c r="P4" s="739"/>
      <c r="Q4" s="393"/>
    </row>
    <row r="5" spans="1:17" x14ac:dyDescent="0.25">
      <c r="B5" s="395"/>
      <c r="C5" s="396"/>
      <c r="D5" s="397"/>
      <c r="E5" s="395" t="s">
        <v>0</v>
      </c>
      <c r="F5" s="395" t="s">
        <v>1</v>
      </c>
      <c r="G5" s="393"/>
      <c r="H5" s="397"/>
      <c r="I5" s="397"/>
      <c r="J5" s="395" t="s">
        <v>0</v>
      </c>
      <c r="K5" s="395" t="s">
        <v>1</v>
      </c>
      <c r="L5" s="393"/>
      <c r="M5" s="397"/>
      <c r="N5" s="397"/>
      <c r="O5" s="395" t="s">
        <v>0</v>
      </c>
      <c r="P5" s="395" t="s">
        <v>1</v>
      </c>
      <c r="Q5" s="393"/>
    </row>
    <row r="6" spans="1:17" x14ac:dyDescent="0.25">
      <c r="A6" s="398" t="s">
        <v>102</v>
      </c>
      <c r="B6" s="395"/>
      <c r="C6" s="399"/>
      <c r="D6" s="395"/>
      <c r="E6" s="395"/>
      <c r="F6" s="395"/>
      <c r="G6" s="393"/>
      <c r="H6" s="397"/>
      <c r="I6" s="397"/>
      <c r="J6" s="395"/>
      <c r="K6" s="395"/>
      <c r="L6" s="393"/>
      <c r="M6" s="397"/>
      <c r="N6" s="397"/>
      <c r="O6" s="395"/>
      <c r="P6" s="395"/>
      <c r="Q6" s="393"/>
    </row>
    <row r="7" spans="1:17" x14ac:dyDescent="0.25">
      <c r="A7" s="400" t="s">
        <v>480</v>
      </c>
      <c r="B7" s="401"/>
      <c r="C7" s="393" t="s">
        <v>2</v>
      </c>
      <c r="D7" s="404"/>
      <c r="E7" s="401">
        <f>+'Example 5 Assumptions Summary '!D20</f>
        <v>105700000</v>
      </c>
      <c r="F7" s="401"/>
      <c r="G7" s="393"/>
      <c r="H7" s="389" t="str">
        <f>+D10</f>
        <v>Other financing source - issuance premium</v>
      </c>
      <c r="J7" s="402">
        <f>+F10</f>
        <v>2200000</v>
      </c>
      <c r="K7" s="402"/>
      <c r="L7" s="393"/>
      <c r="M7" s="404" t="str">
        <f>+C7</f>
        <v>Cash</v>
      </c>
      <c r="N7" s="404"/>
      <c r="O7" s="401">
        <f>+E7</f>
        <v>105700000</v>
      </c>
      <c r="P7" s="401"/>
      <c r="Q7" s="393"/>
    </row>
    <row r="8" spans="1:17" x14ac:dyDescent="0.25">
      <c r="B8" s="389"/>
      <c r="C8" s="389" t="s">
        <v>413</v>
      </c>
      <c r="D8" s="389"/>
      <c r="E8" s="401">
        <f>+'Example 5 Assumptions Summary '!D17+'Example 5 Assumptions Summary '!D18</f>
        <v>6500000</v>
      </c>
      <c r="F8" s="389"/>
      <c r="G8" s="393"/>
      <c r="H8" s="404" t="str">
        <f>+D9</f>
        <v>Other financing source - issuance of bonds</v>
      </c>
      <c r="I8" s="404"/>
      <c r="J8" s="401">
        <f>+F9</f>
        <v>110000000</v>
      </c>
      <c r="K8" s="401"/>
      <c r="L8" s="393"/>
      <c r="M8" s="404" t="s">
        <v>333</v>
      </c>
      <c r="N8" s="404"/>
      <c r="O8" s="401">
        <f>+E8</f>
        <v>6500000</v>
      </c>
      <c r="P8" s="401"/>
      <c r="Q8" s="393"/>
    </row>
    <row r="9" spans="1:17" x14ac:dyDescent="0.25">
      <c r="B9" s="401"/>
      <c r="C9" s="393"/>
      <c r="D9" s="404" t="s">
        <v>337</v>
      </c>
      <c r="E9" s="401"/>
      <c r="F9" s="401">
        <f>+'Example 5 Assumptions Summary '!D16</f>
        <v>110000000</v>
      </c>
      <c r="G9" s="393"/>
      <c r="H9" s="404"/>
      <c r="I9" s="404" t="s">
        <v>335</v>
      </c>
      <c r="J9" s="401"/>
      <c r="K9" s="401">
        <f>+J8</f>
        <v>110000000</v>
      </c>
      <c r="L9" s="393"/>
      <c r="M9" s="404"/>
      <c r="N9" s="404" t="str">
        <f>+I9</f>
        <v>Bonds payable</v>
      </c>
      <c r="O9" s="401"/>
      <c r="P9" s="401">
        <f>+K9</f>
        <v>110000000</v>
      </c>
      <c r="Q9" s="393"/>
    </row>
    <row r="10" spans="1:17" x14ac:dyDescent="0.25">
      <c r="D10" s="404" t="s">
        <v>485</v>
      </c>
      <c r="F10" s="388">
        <f>+'Example 5 Assumptions Summary '!D19</f>
        <v>2200000</v>
      </c>
      <c r="I10" s="389" t="s">
        <v>489</v>
      </c>
      <c r="K10" s="388">
        <f>+J7</f>
        <v>2200000</v>
      </c>
      <c r="N10" s="389" t="str">
        <f>+I10</f>
        <v>Premium on bonds payable</v>
      </c>
      <c r="P10" s="401">
        <f>+K10</f>
        <v>2200000</v>
      </c>
    </row>
    <row r="11" spans="1:17" x14ac:dyDescent="0.25">
      <c r="B11" s="401"/>
      <c r="C11" s="482" t="s">
        <v>486</v>
      </c>
      <c r="D11" s="404"/>
      <c r="E11" s="401"/>
      <c r="F11" s="401"/>
      <c r="G11" s="393"/>
      <c r="H11" s="405"/>
      <c r="I11" s="404"/>
      <c r="J11" s="401"/>
      <c r="K11" s="401"/>
      <c r="L11" s="393"/>
      <c r="M11" s="405" t="str">
        <f>+C11</f>
        <v>[To record issuance of bonds payable]</v>
      </c>
      <c r="N11" s="404"/>
      <c r="O11" s="401"/>
      <c r="P11" s="401"/>
      <c r="Q11" s="393"/>
    </row>
    <row r="12" spans="1:17" x14ac:dyDescent="0.25">
      <c r="B12" s="401"/>
      <c r="C12" s="392"/>
      <c r="D12" s="401"/>
      <c r="E12" s="401"/>
      <c r="F12" s="401"/>
      <c r="G12" s="393"/>
      <c r="H12" s="405"/>
      <c r="J12" s="402"/>
      <c r="K12" s="402"/>
      <c r="L12" s="393"/>
      <c r="M12" s="405"/>
      <c r="N12" s="404"/>
      <c r="O12" s="401"/>
      <c r="P12" s="401"/>
      <c r="Q12" s="393"/>
    </row>
    <row r="13" spans="1:17" x14ac:dyDescent="0.25">
      <c r="B13" s="401"/>
      <c r="C13" s="392"/>
      <c r="D13" s="401"/>
      <c r="E13" s="401"/>
      <c r="F13" s="401"/>
      <c r="G13" s="393"/>
      <c r="I13" s="404"/>
      <c r="J13" s="401"/>
      <c r="K13" s="401"/>
      <c r="L13" s="393"/>
      <c r="M13" s="404"/>
      <c r="N13" s="404"/>
      <c r="O13" s="401"/>
      <c r="P13" s="401"/>
      <c r="Q13" s="393"/>
    </row>
    <row r="14" spans="1:17" x14ac:dyDescent="0.25">
      <c r="A14" s="391" t="s">
        <v>481</v>
      </c>
      <c r="B14" s="401"/>
      <c r="C14" s="389" t="s">
        <v>736</v>
      </c>
      <c r="D14" s="401"/>
      <c r="E14" s="401">
        <f>+'Ex. 5 Calcs-Corporation'!C6</f>
        <v>72000000</v>
      </c>
      <c r="F14" s="401"/>
      <c r="G14" s="393"/>
      <c r="H14" s="389" t="s">
        <v>488</v>
      </c>
      <c r="I14" s="404"/>
      <c r="J14" s="401">
        <f>+K15</f>
        <v>72000000</v>
      </c>
      <c r="K14" s="401"/>
      <c r="L14" s="393"/>
      <c r="M14" s="404" t="str">
        <f>+H14</f>
        <v>Capital Building</v>
      </c>
      <c r="N14" s="404"/>
      <c r="O14" s="401">
        <f>+J14</f>
        <v>72000000</v>
      </c>
      <c r="P14" s="401"/>
      <c r="Q14" s="393"/>
    </row>
    <row r="15" spans="1:17" x14ac:dyDescent="0.25">
      <c r="B15" s="401"/>
      <c r="C15" s="389" t="s">
        <v>625</v>
      </c>
      <c r="D15" s="401"/>
      <c r="E15" s="401">
        <f>+'Ex. 5 Calcs-Corporation'!C7</f>
        <v>18000000</v>
      </c>
      <c r="F15" s="401"/>
      <c r="G15" s="393"/>
      <c r="H15" s="404"/>
      <c r="I15" s="404" t="str">
        <f>+C14</f>
        <v>Capital outlay - building</v>
      </c>
      <c r="J15" s="389"/>
      <c r="K15" s="403">
        <f>+E14</f>
        <v>72000000</v>
      </c>
      <c r="L15" s="393"/>
      <c r="M15" s="404" t="str">
        <f>+C15</f>
        <v xml:space="preserve">Loan receivable </v>
      </c>
      <c r="N15" s="404"/>
      <c r="O15" s="401">
        <f>+E15</f>
        <v>18000000</v>
      </c>
      <c r="P15" s="401"/>
      <c r="Q15" s="401"/>
    </row>
    <row r="16" spans="1:17" x14ac:dyDescent="0.25">
      <c r="B16" s="401"/>
      <c r="C16" s="389"/>
      <c r="D16" s="389" t="s">
        <v>2</v>
      </c>
      <c r="E16" s="401"/>
      <c r="F16" s="401">
        <f>+'Ex. 5 Calcs-Corporation'!C8</f>
        <v>90000000</v>
      </c>
      <c r="G16" s="393"/>
      <c r="H16" s="404"/>
      <c r="J16" s="389"/>
      <c r="K16" s="389"/>
      <c r="L16" s="393"/>
      <c r="M16" s="404"/>
      <c r="N16" s="404" t="str">
        <f>+D16</f>
        <v>Cash</v>
      </c>
      <c r="O16" s="401"/>
      <c r="P16" s="401">
        <f>+F16</f>
        <v>90000000</v>
      </c>
      <c r="Q16" s="401"/>
    </row>
    <row r="17" spans="1:17" x14ac:dyDescent="0.25">
      <c r="B17" s="401"/>
      <c r="C17" s="406" t="s">
        <v>535</v>
      </c>
      <c r="D17" s="389"/>
      <c r="E17" s="401"/>
      <c r="F17" s="401"/>
      <c r="G17" s="393"/>
      <c r="H17" s="404"/>
      <c r="I17" s="404"/>
      <c r="J17" s="389"/>
      <c r="K17" s="403"/>
      <c r="L17" s="393"/>
      <c r="M17" s="405" t="str">
        <f t="shared" ref="M17:M18" si="0">C17</f>
        <v>[To record purchase of Sample City's capital building and</v>
      </c>
      <c r="N17" s="404"/>
      <c r="O17" s="401"/>
      <c r="P17" s="401"/>
      <c r="Q17" s="401"/>
    </row>
    <row r="18" spans="1:17" x14ac:dyDescent="0.25">
      <c r="B18" s="401"/>
      <c r="C18" s="406" t="s">
        <v>536</v>
      </c>
      <c r="D18" s="401"/>
      <c r="E18" s="401"/>
      <c r="F18" s="401"/>
      <c r="G18" s="393"/>
      <c r="H18" s="404"/>
      <c r="I18" s="404"/>
      <c r="J18" s="401"/>
      <c r="K18" s="401"/>
      <c r="L18" s="393"/>
      <c r="M18" s="405" t="str">
        <f t="shared" si="0"/>
        <v xml:space="preserve"> related loan to City]</v>
      </c>
      <c r="N18" s="404"/>
      <c r="O18" s="404"/>
      <c r="P18" s="401"/>
      <c r="Q18" s="401"/>
    </row>
    <row r="19" spans="1:17" x14ac:dyDescent="0.25">
      <c r="B19" s="401"/>
      <c r="C19" s="389"/>
      <c r="D19" s="401"/>
      <c r="E19" s="401"/>
      <c r="F19" s="401"/>
      <c r="G19" s="393"/>
      <c r="H19" s="405"/>
      <c r="I19" s="404"/>
      <c r="J19" s="401"/>
      <c r="K19" s="401"/>
      <c r="L19" s="393"/>
      <c r="M19" s="405"/>
      <c r="N19" s="404"/>
      <c r="O19" s="401"/>
      <c r="P19" s="401"/>
      <c r="Q19" s="401"/>
    </row>
    <row r="20" spans="1:17" x14ac:dyDescent="0.25">
      <c r="B20" s="401"/>
      <c r="C20" s="389"/>
      <c r="D20" s="401"/>
      <c r="E20" s="401"/>
      <c r="F20" s="401"/>
      <c r="G20" s="393"/>
      <c r="H20" s="405"/>
      <c r="I20" s="404"/>
      <c r="J20" s="401"/>
      <c r="K20" s="401"/>
      <c r="L20" s="393"/>
      <c r="M20" s="405"/>
      <c r="N20" s="404"/>
      <c r="O20" s="401"/>
      <c r="P20" s="401"/>
      <c r="Q20" s="401"/>
    </row>
    <row r="21" spans="1:17" x14ac:dyDescent="0.25">
      <c r="A21" s="391" t="s">
        <v>490</v>
      </c>
      <c r="B21" s="401"/>
      <c r="C21" s="389" t="s">
        <v>48</v>
      </c>
      <c r="D21" s="401"/>
      <c r="E21" s="401">
        <f>+'Ex. 5 Calcs-Corporation'!E16</f>
        <v>72000000</v>
      </c>
      <c r="F21" s="401"/>
      <c r="G21" s="393"/>
      <c r="H21" s="405"/>
      <c r="I21" s="404" t="s">
        <v>36</v>
      </c>
      <c r="J21" s="401"/>
      <c r="K21" s="401"/>
      <c r="L21" s="393"/>
      <c r="M21" s="404" t="str">
        <f t="shared" ref="M21:P23" si="1">C21</f>
        <v>Lease receivable</v>
      </c>
      <c r="N21" s="404"/>
      <c r="O21" s="401">
        <f t="shared" si="1"/>
        <v>72000000</v>
      </c>
      <c r="P21" s="401"/>
      <c r="Q21" s="401"/>
    </row>
    <row r="22" spans="1:17" x14ac:dyDescent="0.25">
      <c r="B22" s="401"/>
      <c r="C22" s="389"/>
      <c r="D22" s="424" t="s">
        <v>555</v>
      </c>
      <c r="E22" s="401"/>
      <c r="F22" s="401">
        <f>+'Ex. 5 Calcs-Corporation'!E16</f>
        <v>72000000</v>
      </c>
      <c r="G22" s="393"/>
      <c r="H22" s="405"/>
      <c r="I22" s="404"/>
      <c r="J22" s="401"/>
      <c r="K22" s="401"/>
      <c r="L22" s="393"/>
      <c r="M22" s="405"/>
      <c r="N22" s="404" t="str">
        <f t="shared" si="1"/>
        <v>Deferred inflow of resources  from lease</v>
      </c>
      <c r="O22" s="401"/>
      <c r="P22" s="401">
        <f t="shared" si="1"/>
        <v>72000000</v>
      </c>
      <c r="Q22" s="401"/>
    </row>
    <row r="23" spans="1:17" x14ac:dyDescent="0.25">
      <c r="B23" s="401"/>
      <c r="C23" s="406" t="s">
        <v>537</v>
      </c>
      <c r="D23" s="401"/>
      <c r="E23" s="401"/>
      <c r="F23" s="401"/>
      <c r="G23" s="393"/>
      <c r="H23" s="405"/>
      <c r="I23" s="404"/>
      <c r="J23" s="401"/>
      <c r="K23" s="401"/>
      <c r="L23" s="393"/>
      <c r="M23" s="405" t="str">
        <f t="shared" si="1"/>
        <v>[To record inception of lease of Capital Building to City]</v>
      </c>
      <c r="N23" s="404"/>
      <c r="O23" s="401"/>
      <c r="P23" s="401"/>
      <c r="Q23" s="401"/>
    </row>
    <row r="24" spans="1:17" x14ac:dyDescent="0.25">
      <c r="B24" s="401"/>
      <c r="C24" s="389"/>
      <c r="D24" s="401"/>
      <c r="E24" s="401"/>
      <c r="F24" s="401"/>
      <c r="G24" s="393"/>
      <c r="H24" s="405"/>
      <c r="I24" s="404"/>
      <c r="J24" s="401"/>
      <c r="K24" s="401"/>
      <c r="L24" s="393"/>
      <c r="M24" s="405"/>
      <c r="N24" s="404"/>
      <c r="O24" s="401"/>
      <c r="P24" s="401"/>
      <c r="Q24" s="401"/>
    </row>
    <row r="25" spans="1:17" x14ac:dyDescent="0.25">
      <c r="B25" s="401"/>
      <c r="C25" s="389"/>
      <c r="D25" s="401"/>
      <c r="E25" s="401"/>
      <c r="F25" s="401"/>
      <c r="G25" s="393"/>
      <c r="H25" s="405"/>
      <c r="I25" s="404"/>
      <c r="J25" s="401"/>
      <c r="K25" s="401"/>
      <c r="L25" s="393"/>
      <c r="Q25" s="401"/>
    </row>
    <row r="26" spans="1:17" x14ac:dyDescent="0.25">
      <c r="A26" s="400" t="s">
        <v>103</v>
      </c>
      <c r="B26" s="401"/>
      <c r="C26" s="389" t="s">
        <v>415</v>
      </c>
      <c r="D26" s="401"/>
      <c r="E26" s="401">
        <f>+'Ex. 5 Calcs-Corporation'!O24</f>
        <v>720000</v>
      </c>
      <c r="F26" s="389"/>
      <c r="G26" s="393"/>
      <c r="H26" s="389" t="s">
        <v>434</v>
      </c>
      <c r="I26" s="401"/>
      <c r="J26" s="401">
        <f>ROUND(+'Ex. 5 Calcs-Corporation'!D25/2,0)</f>
        <v>2727321</v>
      </c>
      <c r="K26" s="401"/>
      <c r="L26" s="393"/>
      <c r="M26" s="404" t="str">
        <f>C26</f>
        <v>Deferred inflow of resources from lease</v>
      </c>
      <c r="N26" s="404"/>
      <c r="O26" s="401">
        <f>E26</f>
        <v>720000</v>
      </c>
      <c r="P26" s="401"/>
      <c r="Q26" s="401"/>
    </row>
    <row r="27" spans="1:17" x14ac:dyDescent="0.25">
      <c r="A27" s="400"/>
      <c r="B27" s="401"/>
      <c r="C27" s="389"/>
      <c r="D27" s="389" t="s">
        <v>50</v>
      </c>
      <c r="E27" s="389"/>
      <c r="F27" s="402">
        <f>+E26</f>
        <v>720000</v>
      </c>
      <c r="G27" s="393"/>
      <c r="I27" s="389" t="s">
        <v>22</v>
      </c>
      <c r="J27" s="401"/>
      <c r="K27" s="401">
        <f>+J26</f>
        <v>2727321</v>
      </c>
      <c r="L27" s="393"/>
      <c r="M27" s="404" t="str">
        <f>H26</f>
        <v>Lease interest receivable</v>
      </c>
      <c r="N27" s="404"/>
      <c r="O27" s="401">
        <f>J26</f>
        <v>2727321</v>
      </c>
      <c r="P27" s="401"/>
      <c r="Q27" s="401"/>
    </row>
    <row r="28" spans="1:17" x14ac:dyDescent="0.25">
      <c r="B28" s="401"/>
      <c r="C28" s="406" t="s">
        <v>136</v>
      </c>
      <c r="D28" s="389"/>
      <c r="E28" s="389"/>
      <c r="F28" s="389"/>
      <c r="G28" s="393"/>
      <c r="H28" s="406" t="s">
        <v>801</v>
      </c>
      <c r="L28" s="393"/>
      <c r="N28" s="404" t="str">
        <f>D27</f>
        <v>Lease revenue</v>
      </c>
      <c r="O28" s="401"/>
      <c r="P28" s="401">
        <f>F27</f>
        <v>720000</v>
      </c>
      <c r="Q28" s="401"/>
    </row>
    <row r="29" spans="1:17" x14ac:dyDescent="0.25">
      <c r="B29" s="401"/>
      <c r="C29" s="406" t="s">
        <v>800</v>
      </c>
      <c r="D29" s="389"/>
      <c r="E29" s="389"/>
      <c r="F29" s="389"/>
      <c r="G29" s="393"/>
      <c r="H29" s="406"/>
      <c r="L29" s="393"/>
      <c r="M29" s="405"/>
      <c r="N29" s="404" t="str">
        <f>I27</f>
        <v>Interest income</v>
      </c>
      <c r="O29" s="401"/>
      <c r="P29" s="401">
        <f>K27</f>
        <v>2727321</v>
      </c>
      <c r="Q29" s="401"/>
    </row>
    <row r="30" spans="1:17" x14ac:dyDescent="0.25">
      <c r="B30" s="401"/>
      <c r="C30" s="389"/>
      <c r="D30" s="389"/>
      <c r="E30" s="389"/>
      <c r="F30" s="389"/>
      <c r="G30" s="393"/>
      <c r="I30" s="424"/>
      <c r="J30" s="401"/>
      <c r="K30" s="401"/>
      <c r="L30" s="393"/>
      <c r="M30" s="405" t="s">
        <v>492</v>
      </c>
      <c r="N30" s="404"/>
      <c r="O30" s="401"/>
      <c r="P30" s="401"/>
      <c r="Q30" s="401"/>
    </row>
    <row r="31" spans="1:17" x14ac:dyDescent="0.25">
      <c r="B31" s="401"/>
      <c r="C31" s="389"/>
      <c r="D31" s="389"/>
      <c r="E31" s="389"/>
      <c r="F31" s="389"/>
      <c r="G31" s="393"/>
      <c r="I31" s="424"/>
      <c r="J31" s="401"/>
      <c r="K31" s="401"/>
      <c r="L31" s="393"/>
      <c r="M31" s="405" t="s">
        <v>802</v>
      </c>
      <c r="N31" s="404"/>
      <c r="O31" s="401"/>
      <c r="P31" s="401"/>
      <c r="Q31" s="401"/>
    </row>
    <row r="32" spans="1:17" x14ac:dyDescent="0.25">
      <c r="B32" s="401"/>
      <c r="C32" s="389"/>
      <c r="D32" s="389"/>
      <c r="E32" s="389"/>
      <c r="F32" s="389"/>
      <c r="G32" s="393"/>
      <c r="H32" s="406"/>
      <c r="I32" s="424"/>
      <c r="J32" s="401"/>
      <c r="K32" s="401"/>
      <c r="L32" s="393"/>
      <c r="M32" s="405"/>
      <c r="N32" s="404"/>
      <c r="O32" s="401"/>
      <c r="P32" s="401"/>
      <c r="Q32" s="401"/>
    </row>
    <row r="33" spans="1:17" x14ac:dyDescent="0.25">
      <c r="B33" s="401"/>
      <c r="C33" s="389"/>
      <c r="D33" s="389"/>
      <c r="E33" s="389"/>
      <c r="F33" s="389"/>
      <c r="G33" s="393"/>
      <c r="H33" s="406"/>
      <c r="I33" s="424"/>
      <c r="J33" s="401"/>
      <c r="K33" s="401"/>
      <c r="L33" s="393"/>
      <c r="M33" s="405"/>
      <c r="N33" s="404"/>
      <c r="O33" s="401"/>
      <c r="P33" s="401"/>
      <c r="Q33" s="401"/>
    </row>
    <row r="34" spans="1:17" x14ac:dyDescent="0.25">
      <c r="A34" s="391" t="s">
        <v>104</v>
      </c>
      <c r="B34" s="401"/>
      <c r="C34" s="389"/>
      <c r="D34" s="389" t="s">
        <v>36</v>
      </c>
      <c r="E34" s="389"/>
      <c r="F34" s="389"/>
      <c r="G34" s="393"/>
      <c r="H34" s="389" t="s">
        <v>497</v>
      </c>
      <c r="I34" s="424"/>
      <c r="J34" s="401">
        <f>ROUND(+'Ex. 5 Calcs-Corporation'!J25/2,0)</f>
        <v>681830</v>
      </c>
      <c r="K34" s="401"/>
      <c r="L34" s="393"/>
      <c r="M34" s="405" t="str">
        <f t="shared" ref="M34:P36" si="2">H34</f>
        <v>Loan interest receivable</v>
      </c>
      <c r="N34" s="404"/>
      <c r="O34" s="401">
        <f t="shared" si="2"/>
        <v>681830</v>
      </c>
      <c r="P34" s="401"/>
      <c r="Q34" s="401"/>
    </row>
    <row r="35" spans="1:17" x14ac:dyDescent="0.25">
      <c r="B35" s="401"/>
      <c r="C35" s="389"/>
      <c r="D35" s="389"/>
      <c r="E35" s="389"/>
      <c r="F35" s="389"/>
      <c r="G35" s="393"/>
      <c r="H35" s="406"/>
      <c r="I35" s="424" t="s">
        <v>498</v>
      </c>
      <c r="J35" s="401"/>
      <c r="K35" s="401">
        <f>+J34</f>
        <v>681830</v>
      </c>
      <c r="L35" s="393"/>
      <c r="M35" s="405"/>
      <c r="N35" s="404" t="str">
        <f t="shared" si="2"/>
        <v>interest income</v>
      </c>
      <c r="O35" s="401"/>
      <c r="P35" s="401">
        <f t="shared" si="2"/>
        <v>681830</v>
      </c>
      <c r="Q35" s="401"/>
    </row>
    <row r="36" spans="1:17" x14ac:dyDescent="0.25">
      <c r="B36" s="401"/>
      <c r="C36" s="389"/>
      <c r="D36" s="389"/>
      <c r="E36" s="389"/>
      <c r="F36" s="389"/>
      <c r="G36" s="393"/>
      <c r="H36" s="406" t="s">
        <v>499</v>
      </c>
      <c r="I36" s="424"/>
      <c r="J36" s="401"/>
      <c r="K36" s="401"/>
      <c r="L36" s="393"/>
      <c r="M36" s="405" t="str">
        <f t="shared" si="2"/>
        <v>[To record accrual of 6 months of loan interest income]</v>
      </c>
      <c r="N36" s="404"/>
      <c r="O36" s="401"/>
      <c r="P36" s="401"/>
      <c r="Q36" s="401"/>
    </row>
    <row r="37" spans="1:17" x14ac:dyDescent="0.25">
      <c r="B37" s="401"/>
      <c r="C37" s="389"/>
      <c r="D37" s="401"/>
      <c r="E37" s="401"/>
      <c r="F37" s="401"/>
      <c r="G37" s="393"/>
      <c r="J37" s="389"/>
      <c r="K37" s="401"/>
      <c r="L37" s="393"/>
      <c r="M37" s="404"/>
      <c r="N37" s="404"/>
      <c r="O37" s="401"/>
      <c r="P37" s="401"/>
      <c r="Q37" s="401"/>
    </row>
    <row r="38" spans="1:17" x14ac:dyDescent="0.25">
      <c r="B38" s="401"/>
      <c r="C38" s="389"/>
      <c r="D38" s="401"/>
      <c r="E38" s="401"/>
      <c r="F38" s="401"/>
      <c r="G38" s="393"/>
      <c r="J38" s="389"/>
      <c r="K38" s="389"/>
      <c r="L38" s="393"/>
      <c r="M38" s="404"/>
      <c r="N38" s="404"/>
      <c r="O38" s="401"/>
      <c r="P38" s="401"/>
      <c r="Q38" s="401"/>
    </row>
    <row r="39" spans="1:17" x14ac:dyDescent="0.25">
      <c r="A39" s="391" t="s">
        <v>105</v>
      </c>
      <c r="B39" s="401"/>
      <c r="C39" s="389"/>
      <c r="D39" s="389" t="s">
        <v>36</v>
      </c>
      <c r="E39" s="409"/>
      <c r="F39" s="409"/>
      <c r="G39" s="393"/>
      <c r="H39" s="404" t="s">
        <v>344</v>
      </c>
      <c r="I39" s="404"/>
      <c r="J39" s="401">
        <f>+K41-J40</f>
        <v>3269616</v>
      </c>
      <c r="K39" s="401"/>
      <c r="L39" s="393"/>
      <c r="M39" s="404" t="str">
        <f>H39</f>
        <v>Bond interest expense</v>
      </c>
      <c r="N39" s="404"/>
      <c r="O39" s="401">
        <f>J39</f>
        <v>3269616</v>
      </c>
      <c r="P39" s="401"/>
      <c r="Q39" s="401"/>
    </row>
    <row r="40" spans="1:17" x14ac:dyDescent="0.25">
      <c r="B40" s="401"/>
      <c r="C40" s="389"/>
      <c r="D40" s="401"/>
      <c r="E40" s="409"/>
      <c r="F40" s="409"/>
      <c r="G40" s="393"/>
      <c r="H40" s="404" t="s">
        <v>489</v>
      </c>
      <c r="I40" s="404"/>
      <c r="J40" s="401">
        <f>ROUND(+'Example 5 Assumptions Summary '!G27/2,0)</f>
        <v>30384</v>
      </c>
      <c r="K40" s="401"/>
      <c r="L40" s="393"/>
      <c r="M40" s="404" t="str">
        <f>+H40</f>
        <v>Premium on bonds payable</v>
      </c>
      <c r="O40" s="402">
        <f>+J40</f>
        <v>30384</v>
      </c>
      <c r="P40" s="389"/>
      <c r="Q40" s="393"/>
    </row>
    <row r="41" spans="1:17" x14ac:dyDescent="0.25">
      <c r="B41" s="401"/>
      <c r="C41" s="389"/>
      <c r="D41" s="401"/>
      <c r="E41" s="409"/>
      <c r="F41" s="409"/>
      <c r="G41" s="393"/>
      <c r="H41" s="404"/>
      <c r="I41" s="404" t="s">
        <v>494</v>
      </c>
      <c r="J41" s="401"/>
      <c r="K41" s="401">
        <f>ROUND(+'Example 5 Assumptions Summary '!D27/2,0)</f>
        <v>3300000</v>
      </c>
      <c r="L41" s="393"/>
      <c r="M41" s="404"/>
      <c r="N41" s="404" t="str">
        <f>I41</f>
        <v>Bond interest payable</v>
      </c>
      <c r="O41" s="401"/>
      <c r="P41" s="401">
        <f>K41</f>
        <v>3300000</v>
      </c>
      <c r="Q41" s="393"/>
    </row>
    <row r="42" spans="1:17" x14ac:dyDescent="0.25">
      <c r="B42" s="401"/>
      <c r="C42" s="392"/>
      <c r="D42" s="401"/>
      <c r="E42" s="409"/>
      <c r="F42" s="409"/>
      <c r="G42" s="393"/>
      <c r="H42" s="405" t="s">
        <v>495</v>
      </c>
      <c r="I42" s="404"/>
      <c r="J42" s="401"/>
      <c r="K42" s="401"/>
      <c r="L42" s="393"/>
      <c r="M42" s="405" t="str">
        <f t="shared" ref="M42:M43" si="3">H42</f>
        <v>[To record accrual of 6 months of bond interest payable and</v>
      </c>
      <c r="N42" s="404"/>
      <c r="O42" s="401"/>
      <c r="P42" s="401"/>
      <c r="Q42" s="393"/>
    </row>
    <row r="43" spans="1:17" x14ac:dyDescent="0.25">
      <c r="B43" s="401"/>
      <c r="C43" s="392"/>
      <c r="D43" s="401"/>
      <c r="E43" s="409"/>
      <c r="F43" s="409"/>
      <c r="G43" s="393"/>
      <c r="H43" s="405" t="s">
        <v>496</v>
      </c>
      <c r="I43" s="404"/>
      <c r="J43" s="401"/>
      <c r="K43" s="401"/>
      <c r="L43" s="393"/>
      <c r="M43" s="405" t="str">
        <f t="shared" si="3"/>
        <v>amortization of premium]</v>
      </c>
      <c r="N43" s="404"/>
      <c r="O43" s="401"/>
      <c r="P43" s="401"/>
      <c r="Q43" s="393"/>
    </row>
    <row r="44" spans="1:17" x14ac:dyDescent="0.25">
      <c r="B44" s="401"/>
      <c r="C44" s="392"/>
      <c r="D44" s="401"/>
      <c r="E44" s="409"/>
      <c r="F44" s="409"/>
      <c r="G44" s="393"/>
      <c r="H44" s="405"/>
      <c r="I44" s="404"/>
      <c r="J44" s="401"/>
      <c r="K44" s="401"/>
      <c r="L44" s="393"/>
      <c r="M44" s="405"/>
      <c r="N44" s="404"/>
      <c r="O44" s="401"/>
      <c r="P44" s="401"/>
      <c r="Q44" s="393"/>
    </row>
    <row r="45" spans="1:17" x14ac:dyDescent="0.25">
      <c r="B45" s="401"/>
      <c r="C45" s="392"/>
      <c r="D45" s="401"/>
      <c r="E45" s="409"/>
      <c r="F45" s="409"/>
      <c r="G45" s="393"/>
      <c r="H45" s="404"/>
      <c r="I45" s="404"/>
      <c r="J45" s="401"/>
      <c r="K45" s="401"/>
      <c r="L45" s="393"/>
      <c r="M45" s="404"/>
      <c r="N45" s="404"/>
      <c r="O45" s="401"/>
      <c r="P45" s="401"/>
      <c r="Q45" s="393"/>
    </row>
    <row r="46" spans="1:17" ht="14.25" customHeight="1" x14ac:dyDescent="0.25">
      <c r="A46" s="398" t="s">
        <v>107</v>
      </c>
      <c r="B46" s="389"/>
      <c r="C46" s="389"/>
      <c r="D46" s="389"/>
      <c r="E46" s="409"/>
      <c r="F46" s="409"/>
      <c r="J46" s="402"/>
      <c r="K46" s="402"/>
      <c r="O46" s="409"/>
      <c r="P46" s="402"/>
      <c r="Q46" s="393"/>
    </row>
    <row r="47" spans="1:17" ht="14.25" customHeight="1" x14ac:dyDescent="0.25">
      <c r="A47" s="427">
        <v>44561</v>
      </c>
      <c r="B47" s="389"/>
      <c r="C47" s="389" t="s">
        <v>2</v>
      </c>
      <c r="D47" s="389"/>
      <c r="E47" s="409">
        <f>+'Ex. 5 Calcs-Corporation'!C25+'Ex. 5 Calcs-Corporation'!I25</f>
        <v>7000000</v>
      </c>
      <c r="F47" s="409"/>
      <c r="H47" s="389" t="str">
        <f>+D50</f>
        <v>Interest income</v>
      </c>
      <c r="J47" s="402">
        <f>+K48+K49</f>
        <v>3409151</v>
      </c>
      <c r="K47" s="402"/>
      <c r="M47" s="389" t="str">
        <f>+C47</f>
        <v>Cash</v>
      </c>
      <c r="O47" s="409">
        <f>+E47</f>
        <v>7000000</v>
      </c>
      <c r="P47" s="402"/>
      <c r="Q47" s="393"/>
    </row>
    <row r="48" spans="1:17" ht="14.25" customHeight="1" x14ac:dyDescent="0.25">
      <c r="A48" s="422"/>
      <c r="B48" s="389"/>
      <c r="C48" s="389"/>
      <c r="D48" s="389" t="s">
        <v>48</v>
      </c>
      <c r="E48" s="409"/>
      <c r="F48" s="409">
        <f>ROUND(+'Ex. 5 Calcs-Corporation'!E25,0)</f>
        <v>145358</v>
      </c>
      <c r="I48" s="389" t="s">
        <v>434</v>
      </c>
      <c r="J48" s="402"/>
      <c r="K48" s="402">
        <f>+J26</f>
        <v>2727321</v>
      </c>
      <c r="N48" s="389" t="str">
        <f>+H47</f>
        <v>Interest income</v>
      </c>
      <c r="O48" s="409"/>
      <c r="P48" s="402">
        <f>+F50-J47</f>
        <v>3409151</v>
      </c>
      <c r="Q48" s="393"/>
    </row>
    <row r="49" spans="1:17" ht="14.25" customHeight="1" x14ac:dyDescent="0.25">
      <c r="A49" s="422"/>
      <c r="B49" s="389"/>
      <c r="C49" s="389"/>
      <c r="D49" s="389" t="s">
        <v>487</v>
      </c>
      <c r="E49" s="409"/>
      <c r="F49" s="409">
        <f>ROUND(+'Ex. 5 Calcs-Corporation'!K25,0)</f>
        <v>36340</v>
      </c>
      <c r="I49" s="389" t="s">
        <v>497</v>
      </c>
      <c r="J49" s="402"/>
      <c r="K49" s="402">
        <f>+J34</f>
        <v>681830</v>
      </c>
      <c r="N49" s="389" t="str">
        <f>+I48</f>
        <v>Lease interest receivable</v>
      </c>
      <c r="O49" s="409"/>
      <c r="P49" s="402">
        <f>+K48</f>
        <v>2727321</v>
      </c>
      <c r="Q49" s="393"/>
    </row>
    <row r="50" spans="1:17" ht="14.25" customHeight="1" x14ac:dyDescent="0.25">
      <c r="A50" s="422"/>
      <c r="B50" s="389"/>
      <c r="C50" s="389"/>
      <c r="D50" s="389" t="s">
        <v>22</v>
      </c>
      <c r="E50" s="409"/>
      <c r="F50" s="409">
        <f>ROUND(+'Ex. 5 Calcs-Corporation'!D25+'Ex. 5 Calcs-Corporation'!J25,0)</f>
        <v>6818302</v>
      </c>
      <c r="J50" s="389"/>
      <c r="K50" s="389"/>
      <c r="N50" s="389" t="str">
        <f>+I49</f>
        <v>Loan interest receivable</v>
      </c>
      <c r="O50" s="409"/>
      <c r="P50" s="402">
        <f>+K49</f>
        <v>681830</v>
      </c>
      <c r="Q50" s="393"/>
    </row>
    <row r="51" spans="1:17" ht="14.25" customHeight="1" x14ac:dyDescent="0.25">
      <c r="A51" s="422"/>
      <c r="B51" s="389"/>
      <c r="C51" s="406" t="s">
        <v>803</v>
      </c>
      <c r="D51" s="389"/>
      <c r="E51" s="409"/>
      <c r="F51" s="409"/>
      <c r="J51" s="389"/>
      <c r="K51" s="389"/>
      <c r="N51" s="389" t="str">
        <f>+D48</f>
        <v>Lease receivable</v>
      </c>
      <c r="O51" s="409"/>
      <c r="P51" s="402">
        <f>+F48</f>
        <v>145358</v>
      </c>
      <c r="Q51" s="393"/>
    </row>
    <row r="52" spans="1:17" ht="14.25" customHeight="1" x14ac:dyDescent="0.25">
      <c r="A52" s="422"/>
      <c r="B52" s="389"/>
      <c r="C52" s="406" t="s">
        <v>500</v>
      </c>
      <c r="D52" s="389"/>
      <c r="E52" s="409"/>
      <c r="F52" s="409"/>
      <c r="J52" s="402"/>
      <c r="K52" s="402"/>
      <c r="N52" s="389" t="str">
        <f>+D49</f>
        <v>Loan receivable</v>
      </c>
      <c r="O52" s="409"/>
      <c r="P52" s="402">
        <f>+F49</f>
        <v>36340</v>
      </c>
      <c r="Q52" s="393"/>
    </row>
    <row r="53" spans="1:17" ht="14.25" customHeight="1" x14ac:dyDescent="0.25">
      <c r="A53" s="422"/>
      <c r="B53" s="389"/>
      <c r="C53" s="389"/>
      <c r="D53" s="389"/>
      <c r="E53" s="409"/>
      <c r="F53" s="409"/>
      <c r="J53" s="402"/>
      <c r="K53" s="402"/>
      <c r="M53" s="406" t="str">
        <f>+C51</f>
        <v>[To record receipt of first annual payment from City</v>
      </c>
      <c r="O53" s="409"/>
      <c r="P53" s="402"/>
      <c r="Q53" s="393"/>
    </row>
    <row r="54" spans="1:17" ht="14.25" customHeight="1" x14ac:dyDescent="0.25">
      <c r="A54" s="422"/>
      <c r="B54" s="389"/>
      <c r="C54" s="389"/>
      <c r="D54" s="389"/>
      <c r="E54" s="409"/>
      <c r="F54" s="409"/>
      <c r="J54" s="402"/>
      <c r="K54" s="402"/>
      <c r="M54" s="406" t="str">
        <f>+C52</f>
        <v>on lease and loan receivables]</v>
      </c>
      <c r="O54" s="409"/>
      <c r="P54" s="402"/>
      <c r="Q54" s="393"/>
    </row>
    <row r="55" spans="1:17" ht="14.25" customHeight="1" x14ac:dyDescent="0.25">
      <c r="A55" s="422"/>
      <c r="B55" s="389"/>
      <c r="C55" s="389"/>
      <c r="D55" s="389"/>
      <c r="E55" s="409"/>
      <c r="F55" s="409"/>
      <c r="J55" s="402"/>
      <c r="K55" s="402"/>
      <c r="M55" s="406"/>
      <c r="O55" s="409"/>
      <c r="P55" s="402"/>
      <c r="Q55" s="393"/>
    </row>
    <row r="56" spans="1:17" ht="14.25" customHeight="1" x14ac:dyDescent="0.25">
      <c r="A56" s="422"/>
      <c r="B56" s="389"/>
      <c r="C56" s="389"/>
      <c r="D56" s="389"/>
      <c r="E56" s="409"/>
      <c r="F56" s="409"/>
      <c r="J56" s="402"/>
      <c r="K56" s="402"/>
      <c r="M56" s="406"/>
      <c r="O56" s="409"/>
      <c r="P56" s="402"/>
      <c r="Q56" s="393"/>
    </row>
    <row r="57" spans="1:17" ht="14.65" customHeight="1" x14ac:dyDescent="0.25">
      <c r="A57" s="483">
        <v>44562</v>
      </c>
      <c r="B57" s="401"/>
      <c r="C57" s="393" t="s">
        <v>804</v>
      </c>
      <c r="D57" s="484"/>
      <c r="E57" s="409">
        <f>+'Example 5 Assumptions Summary '!E27</f>
        <v>378872</v>
      </c>
      <c r="F57" s="409"/>
      <c r="G57" s="393"/>
      <c r="H57" s="389" t="s">
        <v>335</v>
      </c>
      <c r="J57" s="388">
        <f>+K60</f>
        <v>378872</v>
      </c>
      <c r="L57" s="393"/>
      <c r="M57" s="404" t="str">
        <f>+H57</f>
        <v>Bonds payable</v>
      </c>
      <c r="O57" s="402">
        <f>+J57</f>
        <v>378872</v>
      </c>
      <c r="P57" s="402"/>
      <c r="Q57" s="393"/>
    </row>
    <row r="58" spans="1:17" ht="14.65" customHeight="1" x14ac:dyDescent="0.25">
      <c r="A58" s="485"/>
      <c r="B58" s="409"/>
      <c r="C58" s="393" t="s">
        <v>394</v>
      </c>
      <c r="D58" s="484"/>
      <c r="E58" s="409">
        <f>+'Example 5 Assumptions Summary '!D27</f>
        <v>6600000</v>
      </c>
      <c r="F58" s="409"/>
      <c r="G58" s="393"/>
      <c r="H58" s="389" t="s">
        <v>28</v>
      </c>
      <c r="J58" s="388">
        <f>+K41</f>
        <v>3300000</v>
      </c>
      <c r="L58" s="393"/>
      <c r="M58" s="404" t="str">
        <f>+H58</f>
        <v>Interest payable</v>
      </c>
      <c r="O58" s="402">
        <f>+J58</f>
        <v>3300000</v>
      </c>
      <c r="P58" s="389"/>
      <c r="Q58" s="393"/>
    </row>
    <row r="59" spans="1:17" ht="14.65" customHeight="1" x14ac:dyDescent="0.25">
      <c r="A59" s="485"/>
      <c r="B59" s="409"/>
      <c r="C59" s="396"/>
      <c r="D59" s="389" t="s">
        <v>2</v>
      </c>
      <c r="E59" s="409"/>
      <c r="F59" s="409">
        <f>+'Example 5 Assumptions Summary '!C27</f>
        <v>6978872</v>
      </c>
      <c r="G59" s="393"/>
      <c r="H59" s="389" t="s">
        <v>344</v>
      </c>
      <c r="J59" s="402">
        <f>+K61-J58</f>
        <v>3300000</v>
      </c>
      <c r="K59" s="389"/>
      <c r="L59" s="393"/>
      <c r="M59" s="389" t="str">
        <f>H59</f>
        <v>Bond interest expense</v>
      </c>
      <c r="O59" s="402">
        <f>+J59</f>
        <v>3300000</v>
      </c>
      <c r="P59" s="402"/>
      <c r="Q59" s="393"/>
    </row>
    <row r="60" spans="1:17" ht="14.65" customHeight="1" x14ac:dyDescent="0.25">
      <c r="A60" s="485"/>
      <c r="B60" s="409"/>
      <c r="C60" s="482" t="s">
        <v>355</v>
      </c>
      <c r="D60" s="404"/>
      <c r="E60" s="409"/>
      <c r="F60" s="409"/>
      <c r="G60" s="393"/>
      <c r="I60" s="389" t="str">
        <f>+C57</f>
        <v xml:space="preserve">Debt service - bond principal </v>
      </c>
      <c r="K60" s="388">
        <f>+E57</f>
        <v>378872</v>
      </c>
      <c r="L60" s="393"/>
      <c r="M60" s="404"/>
      <c r="N60" s="389" t="str">
        <f>+D59</f>
        <v>Cash</v>
      </c>
      <c r="O60" s="402"/>
      <c r="P60" s="402">
        <f>+F59</f>
        <v>6978872</v>
      </c>
      <c r="Q60" s="393"/>
    </row>
    <row r="61" spans="1:17" ht="14.65" customHeight="1" x14ac:dyDescent="0.25">
      <c r="A61" s="485"/>
      <c r="B61" s="409"/>
      <c r="C61" s="482"/>
      <c r="D61" s="404"/>
      <c r="E61" s="409"/>
      <c r="F61" s="409"/>
      <c r="G61" s="393"/>
      <c r="I61" s="389" t="str">
        <f>+C58</f>
        <v xml:space="preserve">Debt service - bond Interest </v>
      </c>
      <c r="K61" s="388">
        <f>+E58</f>
        <v>6600000</v>
      </c>
      <c r="L61" s="393"/>
      <c r="M61" s="405" t="s">
        <v>501</v>
      </c>
      <c r="O61" s="402"/>
      <c r="P61" s="402"/>
      <c r="Q61" s="393"/>
    </row>
    <row r="62" spans="1:17" ht="14.65" customHeight="1" x14ac:dyDescent="0.25">
      <c r="A62" s="485"/>
      <c r="B62" s="409"/>
      <c r="C62" s="482"/>
      <c r="D62" s="404"/>
      <c r="E62" s="409"/>
      <c r="F62" s="409"/>
      <c r="G62" s="393"/>
      <c r="H62" s="406"/>
      <c r="L62" s="393"/>
      <c r="M62" s="405" t="s">
        <v>502</v>
      </c>
      <c r="O62" s="402"/>
      <c r="P62" s="402"/>
      <c r="Q62" s="393"/>
    </row>
    <row r="63" spans="1:17" ht="14.65" customHeight="1" x14ac:dyDescent="0.25">
      <c r="A63" s="485"/>
      <c r="B63" s="409"/>
      <c r="C63" s="482"/>
      <c r="D63" s="404"/>
      <c r="E63" s="409"/>
      <c r="F63" s="409"/>
      <c r="G63" s="393"/>
      <c r="L63" s="393"/>
      <c r="M63" s="405" t="s">
        <v>503</v>
      </c>
      <c r="O63" s="402"/>
      <c r="P63" s="402"/>
      <c r="Q63" s="393"/>
    </row>
    <row r="64" spans="1:17" ht="14.65" customHeight="1" x14ac:dyDescent="0.25">
      <c r="A64" s="485"/>
      <c r="B64" s="409"/>
      <c r="C64" s="482"/>
      <c r="D64" s="404"/>
      <c r="E64" s="409"/>
      <c r="F64" s="409"/>
      <c r="G64" s="393"/>
      <c r="L64" s="393"/>
      <c r="M64" s="405"/>
      <c r="O64" s="402"/>
      <c r="P64" s="402"/>
      <c r="Q64" s="393"/>
    </row>
    <row r="65" spans="1:17" ht="14.65" customHeight="1" x14ac:dyDescent="0.25">
      <c r="A65" s="485"/>
      <c r="B65" s="401"/>
      <c r="C65" s="392"/>
      <c r="D65" s="389"/>
      <c r="E65" s="409"/>
      <c r="F65" s="409"/>
      <c r="G65" s="393"/>
      <c r="J65" s="402"/>
      <c r="K65" s="402"/>
      <c r="L65" s="393"/>
      <c r="Q65" s="393"/>
    </row>
    <row r="66" spans="1:17" x14ac:dyDescent="0.25">
      <c r="A66" s="400" t="s">
        <v>168</v>
      </c>
      <c r="B66" s="401"/>
      <c r="C66" s="389" t="s">
        <v>415</v>
      </c>
      <c r="D66" s="401"/>
      <c r="E66" s="401">
        <f>+'Ex. 5 Calcs-Corporation'!O25</f>
        <v>1440000</v>
      </c>
      <c r="F66" s="389"/>
      <c r="G66" s="393"/>
      <c r="H66" s="389" t="s">
        <v>434</v>
      </c>
      <c r="I66" s="401"/>
      <c r="J66" s="401">
        <f>ROUND(+'Ex. 5 Calcs-Corporation'!D26/2,0)</f>
        <v>2721815</v>
      </c>
      <c r="K66" s="401"/>
      <c r="L66" s="393"/>
      <c r="M66" s="404" t="str">
        <f>C66</f>
        <v>Deferred inflow of resources from lease</v>
      </c>
      <c r="N66" s="404"/>
      <c r="O66" s="401">
        <f>E66</f>
        <v>1440000</v>
      </c>
      <c r="P66" s="409"/>
      <c r="Q66" s="401"/>
    </row>
    <row r="67" spans="1:17" x14ac:dyDescent="0.25">
      <c r="A67" s="400"/>
      <c r="B67" s="401"/>
      <c r="C67" s="389"/>
      <c r="D67" s="389" t="s">
        <v>50</v>
      </c>
      <c r="E67" s="389"/>
      <c r="F67" s="402">
        <f>+E66</f>
        <v>1440000</v>
      </c>
      <c r="G67" s="393"/>
      <c r="I67" s="389" t="s">
        <v>22</v>
      </c>
      <c r="J67" s="401"/>
      <c r="K67" s="401">
        <f>+J66</f>
        <v>2721815</v>
      </c>
      <c r="L67" s="393"/>
      <c r="M67" s="404" t="str">
        <f>H66</f>
        <v>Lease interest receivable</v>
      </c>
      <c r="N67" s="404"/>
      <c r="O67" s="401">
        <f>J66</f>
        <v>2721815</v>
      </c>
      <c r="P67" s="401"/>
      <c r="Q67" s="401"/>
    </row>
    <row r="68" spans="1:17" x14ac:dyDescent="0.25">
      <c r="B68" s="401"/>
      <c r="C68" s="406" t="s">
        <v>136</v>
      </c>
      <c r="D68" s="389"/>
      <c r="E68" s="389"/>
      <c r="F68" s="389"/>
      <c r="G68" s="393"/>
      <c r="H68" s="406" t="s">
        <v>801</v>
      </c>
      <c r="L68" s="393"/>
      <c r="N68" s="404" t="str">
        <f>D67</f>
        <v>Lease revenue</v>
      </c>
      <c r="O68" s="401"/>
      <c r="P68" s="401">
        <f>F67</f>
        <v>1440000</v>
      </c>
      <c r="Q68" s="401"/>
    </row>
    <row r="69" spans="1:17" x14ac:dyDescent="0.25">
      <c r="B69" s="401"/>
      <c r="C69" s="406" t="s">
        <v>800</v>
      </c>
      <c r="D69" s="389"/>
      <c r="E69" s="389"/>
      <c r="F69" s="389"/>
      <c r="G69" s="393"/>
      <c r="H69" s="406"/>
      <c r="L69" s="393"/>
      <c r="M69" s="405"/>
      <c r="N69" s="404" t="str">
        <f>I67</f>
        <v>Interest income</v>
      </c>
      <c r="O69" s="401"/>
      <c r="P69" s="401">
        <f>K67</f>
        <v>2721815</v>
      </c>
      <c r="Q69" s="401"/>
    </row>
    <row r="70" spans="1:17" x14ac:dyDescent="0.25">
      <c r="B70" s="401"/>
      <c r="C70" s="389"/>
      <c r="D70" s="389"/>
      <c r="E70" s="389"/>
      <c r="F70" s="389"/>
      <c r="G70" s="393"/>
      <c r="I70" s="424"/>
      <c r="J70" s="401"/>
      <c r="K70" s="401"/>
      <c r="L70" s="393"/>
      <c r="M70" s="405" t="s">
        <v>492</v>
      </c>
      <c r="N70" s="404"/>
      <c r="O70" s="401"/>
      <c r="P70" s="401"/>
      <c r="Q70" s="401"/>
    </row>
    <row r="71" spans="1:17" x14ac:dyDescent="0.25">
      <c r="B71" s="401"/>
      <c r="C71" s="389"/>
      <c r="D71" s="389"/>
      <c r="E71" s="389"/>
      <c r="F71" s="389"/>
      <c r="G71" s="393"/>
      <c r="I71" s="424"/>
      <c r="J71" s="401"/>
      <c r="K71" s="401"/>
      <c r="L71" s="393"/>
      <c r="M71" s="405" t="s">
        <v>491</v>
      </c>
      <c r="N71" s="404"/>
      <c r="O71" s="401"/>
      <c r="P71" s="401"/>
      <c r="Q71" s="401"/>
    </row>
    <row r="72" spans="1:17" x14ac:dyDescent="0.25">
      <c r="B72" s="401"/>
      <c r="C72" s="389"/>
      <c r="D72" s="389"/>
      <c r="E72" s="389"/>
      <c r="F72" s="389"/>
      <c r="G72" s="393"/>
      <c r="H72" s="406"/>
      <c r="I72" s="424"/>
      <c r="J72" s="401"/>
      <c r="K72" s="401"/>
      <c r="L72" s="393"/>
      <c r="M72" s="405"/>
      <c r="N72" s="404"/>
      <c r="O72" s="401"/>
      <c r="P72" s="401"/>
      <c r="Q72" s="401"/>
    </row>
    <row r="73" spans="1:17" x14ac:dyDescent="0.25">
      <c r="B73" s="401"/>
      <c r="C73" s="389"/>
      <c r="D73" s="389"/>
      <c r="E73" s="389"/>
      <c r="F73" s="389"/>
      <c r="G73" s="393"/>
      <c r="H73" s="406"/>
      <c r="I73" s="424"/>
      <c r="J73" s="401"/>
      <c r="K73" s="401"/>
      <c r="L73" s="393"/>
      <c r="M73" s="405"/>
      <c r="N73" s="404"/>
      <c r="O73" s="401"/>
      <c r="P73" s="401"/>
      <c r="Q73" s="401"/>
    </row>
    <row r="74" spans="1:17" x14ac:dyDescent="0.25">
      <c r="A74" s="391" t="s">
        <v>167</v>
      </c>
      <c r="B74" s="401"/>
      <c r="C74" s="389"/>
      <c r="D74" s="389" t="s">
        <v>36</v>
      </c>
      <c r="E74" s="389"/>
      <c r="F74" s="389"/>
      <c r="G74" s="393"/>
      <c r="H74" s="389" t="s">
        <v>497</v>
      </c>
      <c r="I74" s="424"/>
      <c r="J74" s="401">
        <f>ROUND(+'Ex. 5 Calcs-Corporation'!J26/2,0)</f>
        <v>680454</v>
      </c>
      <c r="K74" s="401"/>
      <c r="L74" s="393"/>
      <c r="M74" s="404" t="str">
        <f t="shared" ref="M74" si="4">H74</f>
        <v>Loan interest receivable</v>
      </c>
      <c r="N74" s="404"/>
      <c r="O74" s="401">
        <f t="shared" ref="O74" si="5">J74</f>
        <v>680454</v>
      </c>
      <c r="P74" s="401"/>
      <c r="Q74" s="401"/>
    </row>
    <row r="75" spans="1:17" x14ac:dyDescent="0.25">
      <c r="B75" s="401"/>
      <c r="C75" s="389"/>
      <c r="D75" s="389"/>
      <c r="E75" s="389"/>
      <c r="F75" s="389"/>
      <c r="G75" s="393"/>
      <c r="H75" s="406"/>
      <c r="I75" s="424" t="s">
        <v>498</v>
      </c>
      <c r="J75" s="401"/>
      <c r="K75" s="401">
        <f>+J74</f>
        <v>680454</v>
      </c>
      <c r="L75" s="393"/>
      <c r="M75" s="405"/>
      <c r="N75" s="404" t="str">
        <f t="shared" ref="N75" si="6">I75</f>
        <v>interest income</v>
      </c>
      <c r="O75" s="401"/>
      <c r="P75" s="401">
        <f t="shared" ref="P75" si="7">K75</f>
        <v>680454</v>
      </c>
      <c r="Q75" s="401"/>
    </row>
    <row r="76" spans="1:17" x14ac:dyDescent="0.25">
      <c r="B76" s="401"/>
      <c r="C76" s="389"/>
      <c r="D76" s="389"/>
      <c r="E76" s="389"/>
      <c r="F76" s="389"/>
      <c r="G76" s="393"/>
      <c r="H76" s="406" t="s">
        <v>499</v>
      </c>
      <c r="I76" s="424"/>
      <c r="J76" s="401"/>
      <c r="K76" s="401"/>
      <c r="L76" s="393"/>
      <c r="M76" s="405" t="str">
        <f t="shared" ref="M76" si="8">H76</f>
        <v>[To record accrual of 6 months of loan interest income]</v>
      </c>
      <c r="N76" s="404"/>
      <c r="O76" s="401"/>
      <c r="P76" s="401"/>
      <c r="Q76" s="401"/>
    </row>
    <row r="77" spans="1:17" x14ac:dyDescent="0.25">
      <c r="B77" s="401"/>
      <c r="C77" s="389"/>
      <c r="D77" s="401"/>
      <c r="E77" s="401"/>
      <c r="F77" s="401"/>
      <c r="G77" s="393"/>
      <c r="J77" s="389"/>
      <c r="K77" s="401"/>
      <c r="L77" s="393"/>
      <c r="M77" s="404"/>
      <c r="N77" s="404"/>
      <c r="O77" s="401"/>
      <c r="P77" s="401"/>
      <c r="Q77" s="401"/>
    </row>
    <row r="78" spans="1:17" x14ac:dyDescent="0.25">
      <c r="B78" s="401"/>
      <c r="C78" s="389"/>
      <c r="D78" s="401"/>
      <c r="E78" s="401"/>
      <c r="F78" s="401"/>
      <c r="G78" s="393"/>
      <c r="J78" s="389"/>
      <c r="K78" s="389"/>
      <c r="L78" s="393"/>
      <c r="M78" s="404"/>
      <c r="N78" s="404"/>
      <c r="O78" s="401"/>
      <c r="P78" s="401"/>
      <c r="Q78" s="401"/>
    </row>
    <row r="79" spans="1:17" x14ac:dyDescent="0.25">
      <c r="A79" s="391" t="s">
        <v>504</v>
      </c>
      <c r="B79" s="401"/>
      <c r="C79" s="389"/>
      <c r="D79" s="389" t="s">
        <v>36</v>
      </c>
      <c r="E79" s="409"/>
      <c r="F79" s="409"/>
      <c r="G79" s="393"/>
      <c r="H79" s="404" t="s">
        <v>344</v>
      </c>
      <c r="I79" s="404"/>
      <c r="J79" s="401">
        <f>+K81-J80</f>
        <v>3258355</v>
      </c>
      <c r="K79" s="401"/>
      <c r="L79" s="393"/>
      <c r="M79" s="404" t="str">
        <f>H79</f>
        <v>Bond interest expense</v>
      </c>
      <c r="N79" s="404"/>
      <c r="O79" s="401">
        <f>J79</f>
        <v>3258355</v>
      </c>
      <c r="P79" s="401"/>
      <c r="Q79" s="401"/>
    </row>
    <row r="80" spans="1:17" x14ac:dyDescent="0.25">
      <c r="B80" s="401"/>
      <c r="C80" s="389"/>
      <c r="D80" s="401"/>
      <c r="E80" s="409"/>
      <c r="F80" s="409"/>
      <c r="G80" s="393"/>
      <c r="H80" s="404" t="s">
        <v>489</v>
      </c>
      <c r="I80" s="404"/>
      <c r="J80" s="401">
        <f>ROUND(+'Example 5 Assumptions Summary '!G28/2,0)</f>
        <v>30279</v>
      </c>
      <c r="K80" s="401"/>
      <c r="L80" s="393"/>
      <c r="M80" s="404" t="str">
        <f>+H80</f>
        <v>Premium on bonds payable</v>
      </c>
      <c r="O80" s="402">
        <f>+J80</f>
        <v>30279</v>
      </c>
      <c r="P80" s="389"/>
      <c r="Q80" s="393"/>
    </row>
    <row r="81" spans="1:17" x14ac:dyDescent="0.25">
      <c r="B81" s="401"/>
      <c r="C81" s="389"/>
      <c r="D81" s="401"/>
      <c r="E81" s="409"/>
      <c r="F81" s="409"/>
      <c r="G81" s="393"/>
      <c r="H81" s="404"/>
      <c r="I81" s="404" t="s">
        <v>494</v>
      </c>
      <c r="J81" s="401"/>
      <c r="K81" s="401">
        <f>ROUND(+'Example 5 Assumptions Summary '!D28/2,0)</f>
        <v>3288634</v>
      </c>
      <c r="L81" s="393"/>
      <c r="M81" s="404"/>
      <c r="N81" s="404" t="str">
        <f>I81</f>
        <v>Bond interest payable</v>
      </c>
      <c r="O81" s="401"/>
      <c r="P81" s="401">
        <f>K81</f>
        <v>3288634</v>
      </c>
      <c r="Q81" s="393"/>
    </row>
    <row r="82" spans="1:17" x14ac:dyDescent="0.25">
      <c r="B82" s="401"/>
      <c r="C82" s="392"/>
      <c r="D82" s="401"/>
      <c r="E82" s="409"/>
      <c r="F82" s="409"/>
      <c r="G82" s="393"/>
      <c r="H82" s="405" t="s">
        <v>495</v>
      </c>
      <c r="I82" s="404"/>
      <c r="J82" s="401"/>
      <c r="K82" s="401"/>
      <c r="L82" s="393"/>
      <c r="M82" s="405" t="str">
        <f t="shared" ref="M82:M83" si="9">H82</f>
        <v>[To record accrual of 6 months of bond interest payable and</v>
      </c>
      <c r="N82" s="404"/>
      <c r="O82" s="401"/>
      <c r="P82" s="401"/>
      <c r="Q82" s="393"/>
    </row>
    <row r="83" spans="1:17" x14ac:dyDescent="0.25">
      <c r="B83" s="401"/>
      <c r="C83" s="392"/>
      <c r="D83" s="401"/>
      <c r="E83" s="409"/>
      <c r="F83" s="409"/>
      <c r="G83" s="393"/>
      <c r="H83" s="405" t="s">
        <v>496</v>
      </c>
      <c r="I83" s="404"/>
      <c r="J83" s="401"/>
      <c r="K83" s="401"/>
      <c r="L83" s="393"/>
      <c r="M83" s="405" t="str">
        <f t="shared" si="9"/>
        <v>amortization of premium]</v>
      </c>
      <c r="N83" s="404"/>
      <c r="O83" s="401"/>
      <c r="P83" s="401"/>
      <c r="Q83" s="393"/>
    </row>
    <row r="84" spans="1:17" x14ac:dyDescent="0.25">
      <c r="B84" s="401"/>
      <c r="C84" s="392"/>
      <c r="D84" s="401"/>
      <c r="E84" s="409"/>
      <c r="F84" s="409"/>
      <c r="G84" s="393"/>
      <c r="H84" s="405"/>
      <c r="I84" s="404"/>
      <c r="J84" s="401"/>
      <c r="K84" s="401"/>
      <c r="L84" s="393"/>
      <c r="M84" s="405"/>
      <c r="N84" s="404"/>
      <c r="O84" s="401"/>
      <c r="P84" s="401"/>
      <c r="Q84" s="393"/>
    </row>
    <row r="85" spans="1:17" ht="16.5" thickBot="1" x14ac:dyDescent="0.3">
      <c r="E85" s="410">
        <f>SUM(E6:E84)-SUM(F6:F84)</f>
        <v>0</v>
      </c>
      <c r="J85" s="410">
        <f>SUM(J6:J84)-SUM(K6:K84)</f>
        <v>0</v>
      </c>
      <c r="O85" s="410">
        <f>SUM(O6:O84)-SUM(P6:P84)</f>
        <v>0</v>
      </c>
    </row>
    <row r="86" spans="1:17" s="415" customFormat="1" ht="14.65" customHeight="1" thickBot="1" x14ac:dyDescent="0.3">
      <c r="A86" s="411"/>
      <c r="B86" s="409"/>
      <c r="C86" s="412" t="s">
        <v>837</v>
      </c>
      <c r="D86" s="413"/>
      <c r="E86" s="413"/>
      <c r="F86" s="414"/>
      <c r="G86" s="393"/>
      <c r="H86" s="412" t="s">
        <v>837</v>
      </c>
      <c r="I86" s="413"/>
      <c r="J86" s="413"/>
      <c r="K86" s="414"/>
      <c r="L86" s="393"/>
      <c r="M86" s="412" t="s">
        <v>837</v>
      </c>
      <c r="N86" s="413"/>
      <c r="O86" s="413"/>
      <c r="P86" s="414"/>
      <c r="Q86" s="393"/>
    </row>
  </sheetData>
  <mergeCells count="4">
    <mergeCell ref="C4:F4"/>
    <mergeCell ref="H4:K4"/>
    <mergeCell ref="M4:P4"/>
    <mergeCell ref="A1:P1"/>
  </mergeCells>
  <pageMargins left="0.7" right="0.7" top="0.75" bottom="0.75" header="0.3" footer="0.3"/>
  <pageSetup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8"/>
  <sheetViews>
    <sheetView workbookViewId="0"/>
  </sheetViews>
  <sheetFormatPr defaultColWidth="9" defaultRowHeight="15.75" x14ac:dyDescent="0.25"/>
  <cols>
    <col min="1" max="1" width="4.140625" style="429" customWidth="1"/>
    <col min="2" max="2" width="13.7109375" style="429" customWidth="1"/>
    <col min="3" max="3" width="2.5703125" style="429" customWidth="1"/>
    <col min="4" max="4" width="14" style="429" customWidth="1"/>
    <col min="5" max="5" width="14.140625" style="429" customWidth="1"/>
    <col min="6" max="6" width="13.7109375" style="429" customWidth="1"/>
    <col min="7" max="7" width="16.140625" style="432" customWidth="1"/>
    <col min="8" max="8" width="2.140625" style="429" customWidth="1"/>
    <col min="9" max="12" width="14" style="429" customWidth="1"/>
    <col min="13" max="13" width="2.140625" style="429" customWidth="1"/>
    <col min="14" max="14" width="14.5703125" style="429" customWidth="1"/>
    <col min="15" max="15" width="13.7109375" style="429" customWidth="1"/>
    <col min="16" max="16" width="2.28515625" style="429" customWidth="1"/>
    <col min="17" max="17" width="16.28515625" style="386" bestFit="1" customWidth="1"/>
    <col min="18" max="18" width="13.28515625" style="429" customWidth="1"/>
    <col min="19" max="16384" width="9" style="429"/>
  </cols>
  <sheetData>
    <row r="1" spans="1:16" x14ac:dyDescent="0.25">
      <c r="A1" s="387" t="s">
        <v>838</v>
      </c>
      <c r="C1" s="387"/>
      <c r="G1" s="430"/>
      <c r="H1" s="390"/>
    </row>
    <row r="3" spans="1:16" x14ac:dyDescent="0.25">
      <c r="A3" s="431"/>
    </row>
    <row r="4" spans="1:16" x14ac:dyDescent="0.25">
      <c r="A4" s="431"/>
      <c r="B4" s="429" t="s">
        <v>505</v>
      </c>
      <c r="E4" s="433">
        <f>+'Example 5 Assumptions Summary '!D5*'Example 5 Assumptions Summary '!D7</f>
        <v>72000000</v>
      </c>
      <c r="F4" s="433"/>
    </row>
    <row r="5" spans="1:16" x14ac:dyDescent="0.25">
      <c r="A5" s="431"/>
      <c r="B5" s="429" t="s">
        <v>477</v>
      </c>
      <c r="E5" s="670">
        <f>+'Example 5 Assumptions Summary '!D9-'Example 5 Assumptions Summary '!D10</f>
        <v>12000000</v>
      </c>
      <c r="F5" s="671"/>
      <c r="G5" s="672"/>
      <c r="H5" s="671"/>
      <c r="I5" s="671"/>
      <c r="J5" s="671"/>
    </row>
    <row r="6" spans="1:16" ht="16.5" thickBot="1" x14ac:dyDescent="0.3">
      <c r="A6" s="431"/>
      <c r="B6" s="429" t="s">
        <v>478</v>
      </c>
      <c r="D6" s="433"/>
      <c r="E6" s="434">
        <f>+E4-E5</f>
        <v>60000000</v>
      </c>
    </row>
    <row r="7" spans="1:16" ht="16.5" thickTop="1" x14ac:dyDescent="0.25">
      <c r="A7" s="431"/>
      <c r="D7" s="433"/>
      <c r="E7" s="435"/>
    </row>
    <row r="8" spans="1:16" x14ac:dyDescent="0.25">
      <c r="A8" s="431"/>
      <c r="B8" s="429" t="s">
        <v>506</v>
      </c>
      <c r="D8" s="433"/>
      <c r="E8" s="435">
        <f>+'Example 5 Assumptions Summary '!D5-E4</f>
        <v>18000000</v>
      </c>
    </row>
    <row r="9" spans="1:16" x14ac:dyDescent="0.25">
      <c r="A9" s="431"/>
      <c r="B9" s="429" t="s">
        <v>55</v>
      </c>
      <c r="D9" s="433"/>
      <c r="E9" s="435">
        <f>+'Example 5 Assumptions Summary '!D6</f>
        <v>72000000</v>
      </c>
    </row>
    <row r="10" spans="1:16" x14ac:dyDescent="0.25">
      <c r="A10" s="431"/>
      <c r="I10" s="436"/>
      <c r="J10" s="436"/>
      <c r="K10" s="436"/>
    </row>
    <row r="11" spans="1:16" ht="14.25" customHeight="1" x14ac:dyDescent="0.25">
      <c r="B11" s="785" t="s">
        <v>549</v>
      </c>
      <c r="C11" s="785"/>
      <c r="D11" s="785"/>
      <c r="E11" s="785"/>
      <c r="F11" s="785"/>
      <c r="G11" s="785"/>
      <c r="H11" s="437"/>
      <c r="I11" s="415"/>
      <c r="J11" s="415"/>
      <c r="K11" s="415"/>
      <c r="L11" s="438"/>
      <c r="M11" s="438"/>
      <c r="N11" s="438"/>
      <c r="O11" s="438"/>
      <c r="P11" s="438"/>
    </row>
    <row r="12" spans="1:16" ht="14.25" customHeight="1" x14ac:dyDescent="0.25">
      <c r="B12" s="415"/>
      <c r="C12" s="415"/>
      <c r="D12" s="415"/>
      <c r="E12" s="415"/>
      <c r="F12" s="439" t="s">
        <v>467</v>
      </c>
      <c r="G12" s="440" t="s">
        <v>468</v>
      </c>
      <c r="H12" s="437"/>
      <c r="I12" s="669" t="s">
        <v>749</v>
      </c>
      <c r="J12" s="447" t="s">
        <v>760</v>
      </c>
      <c r="K12" s="441"/>
      <c r="L12" s="442"/>
      <c r="M12" s="438"/>
      <c r="N12" s="442"/>
      <c r="O12" s="442"/>
      <c r="P12" s="442"/>
    </row>
    <row r="13" spans="1:16" x14ac:dyDescent="0.25">
      <c r="B13" s="443" t="s">
        <v>484</v>
      </c>
      <c r="D13" s="443"/>
      <c r="E13" s="443">
        <v>7000000</v>
      </c>
      <c r="F13" s="437">
        <f>+E13*'Example 5 Assumptions Summary '!D7</f>
        <v>5600000</v>
      </c>
      <c r="G13" s="437">
        <f>+E13*'Example 5 Assumptions Summary '!D8</f>
        <v>1399999.9999999998</v>
      </c>
      <c r="H13" s="437"/>
      <c r="I13" s="443"/>
      <c r="J13" s="444"/>
      <c r="K13" s="444"/>
      <c r="L13" s="443"/>
      <c r="M13" s="436"/>
      <c r="N13" s="443"/>
      <c r="O13" s="436"/>
      <c r="P13" s="436"/>
    </row>
    <row r="14" spans="1:16" x14ac:dyDescent="0.25">
      <c r="B14" s="443" t="s">
        <v>466</v>
      </c>
      <c r="C14" s="444"/>
      <c r="D14" s="444"/>
      <c r="E14" s="444">
        <v>50</v>
      </c>
      <c r="F14" s="444">
        <f t="shared" ref="F14:F15" si="0">E14</f>
        <v>50</v>
      </c>
      <c r="G14" s="444">
        <f t="shared" ref="G14" si="1">E14</f>
        <v>50</v>
      </c>
      <c r="H14" s="437"/>
      <c r="I14" s="444"/>
      <c r="J14" s="444"/>
      <c r="K14" s="444"/>
      <c r="L14" s="436"/>
      <c r="M14" s="436"/>
      <c r="N14" s="445"/>
      <c r="O14" s="436"/>
      <c r="P14" s="436"/>
    </row>
    <row r="15" spans="1:16" x14ac:dyDescent="0.25">
      <c r="B15" s="443" t="s">
        <v>757</v>
      </c>
      <c r="C15" s="444"/>
      <c r="D15" s="446"/>
      <c r="E15" s="446">
        <f>+'Ex. 5 Calcs-Corporation'!D15</f>
        <v>7.5758910122235568E-2</v>
      </c>
      <c r="F15" s="446">
        <f t="shared" si="0"/>
        <v>7.5758910122235568E-2</v>
      </c>
      <c r="G15" s="446">
        <f>E15</f>
        <v>7.5758910122235568E-2</v>
      </c>
      <c r="H15" s="437"/>
      <c r="J15" s="444"/>
      <c r="K15" s="444"/>
      <c r="L15" s="436"/>
      <c r="N15" s="448"/>
      <c r="O15" s="436"/>
      <c r="P15" s="436"/>
    </row>
    <row r="16" spans="1:16" x14ac:dyDescent="0.25">
      <c r="B16" s="443" t="s">
        <v>507</v>
      </c>
      <c r="C16" s="449"/>
      <c r="D16" s="449"/>
      <c r="E16" s="449"/>
      <c r="H16" s="450"/>
      <c r="I16" s="451"/>
      <c r="J16" s="449"/>
      <c r="K16" s="444"/>
      <c r="L16" s="436"/>
      <c r="N16" s="392"/>
      <c r="O16" s="436"/>
      <c r="P16" s="436"/>
    </row>
    <row r="17" spans="1:18" x14ac:dyDescent="0.25">
      <c r="B17" s="452" t="s">
        <v>508</v>
      </c>
      <c r="C17" s="436"/>
      <c r="D17" s="436"/>
      <c r="E17" s="453">
        <v>90000000</v>
      </c>
      <c r="F17" s="453">
        <f>-PV(F15,F14,F13,,0)</f>
        <v>71999999.617101505</v>
      </c>
      <c r="G17" s="453">
        <f>-PV(G15,G14,G13,,0)</f>
        <v>17999999.904275373</v>
      </c>
      <c r="H17" s="437"/>
    </row>
    <row r="18" spans="1:18" x14ac:dyDescent="0.25">
      <c r="B18" s="436"/>
      <c r="C18" s="436"/>
      <c r="D18" s="436"/>
      <c r="E18" s="436"/>
      <c r="F18" s="436"/>
      <c r="G18" s="454"/>
      <c r="H18" s="436"/>
      <c r="I18" s="436"/>
      <c r="J18" s="436"/>
      <c r="K18" s="436"/>
      <c r="L18" s="436"/>
      <c r="M18" s="436"/>
      <c r="O18" s="455">
        <f>ROUND(SUM(O24:O74)-O22,0)</f>
        <v>0</v>
      </c>
      <c r="P18" s="441"/>
      <c r="Q18" s="429"/>
      <c r="R18" s="455">
        <f>ROUND(SUM(R24:R74)-R22,0)</f>
        <v>0</v>
      </c>
    </row>
    <row r="19" spans="1:18" ht="19.5" customHeight="1" x14ac:dyDescent="0.25">
      <c r="B19" s="792" t="s">
        <v>7</v>
      </c>
      <c r="C19" s="456"/>
      <c r="D19" s="851" t="s">
        <v>153</v>
      </c>
      <c r="E19" s="852"/>
      <c r="F19" s="852"/>
      <c r="G19" s="853"/>
      <c r="H19" s="457"/>
      <c r="I19" s="851" t="s">
        <v>479</v>
      </c>
      <c r="J19" s="852"/>
      <c r="K19" s="852"/>
      <c r="L19" s="853"/>
      <c r="M19" s="436"/>
      <c r="N19" s="844" t="s">
        <v>70</v>
      </c>
      <c r="O19" s="845"/>
      <c r="P19" s="436"/>
      <c r="Q19" s="844" t="s">
        <v>521</v>
      </c>
      <c r="R19" s="845"/>
    </row>
    <row r="20" spans="1:18" s="423" customFormat="1" ht="8.65" customHeight="1" x14ac:dyDescent="0.25">
      <c r="B20" s="850"/>
      <c r="C20" s="456"/>
      <c r="D20" s="854"/>
      <c r="E20" s="855"/>
      <c r="F20" s="855"/>
      <c r="G20" s="856"/>
      <c r="H20" s="457"/>
      <c r="I20" s="854"/>
      <c r="J20" s="855"/>
      <c r="K20" s="855"/>
      <c r="L20" s="856"/>
      <c r="M20" s="441"/>
      <c r="N20" s="846"/>
      <c r="O20" s="847"/>
      <c r="Q20" s="846"/>
      <c r="R20" s="847"/>
    </row>
    <row r="21" spans="1:18" s="423" customFormat="1" ht="22.5" customHeight="1" x14ac:dyDescent="0.25">
      <c r="B21" s="850"/>
      <c r="C21" s="458"/>
      <c r="D21" s="857" t="s">
        <v>826</v>
      </c>
      <c r="E21" s="857" t="s">
        <v>113</v>
      </c>
      <c r="F21" s="792" t="s">
        <v>34</v>
      </c>
      <c r="G21" s="860" t="s">
        <v>33</v>
      </c>
      <c r="I21" s="783" t="s">
        <v>301</v>
      </c>
      <c r="J21" s="857" t="s">
        <v>113</v>
      </c>
      <c r="K21" s="792" t="s">
        <v>34</v>
      </c>
      <c r="L21" s="783" t="s">
        <v>33</v>
      </c>
      <c r="M21" s="441"/>
      <c r="N21" s="848"/>
      <c r="O21" s="849"/>
      <c r="P21" s="441"/>
      <c r="Q21" s="848"/>
      <c r="R21" s="849"/>
    </row>
    <row r="22" spans="1:18" s="423" customFormat="1" ht="20.25" customHeight="1" x14ac:dyDescent="0.25">
      <c r="B22" s="850"/>
      <c r="C22" s="458"/>
      <c r="D22" s="858"/>
      <c r="E22" s="858"/>
      <c r="F22" s="850"/>
      <c r="G22" s="861"/>
      <c r="H22" s="459"/>
      <c r="I22" s="859"/>
      <c r="J22" s="858"/>
      <c r="K22" s="850"/>
      <c r="L22" s="859"/>
      <c r="M22" s="441"/>
      <c r="N22" s="460" t="s">
        <v>129</v>
      </c>
      <c r="O22" s="460">
        <f>+F17</f>
        <v>71999999.617101505</v>
      </c>
      <c r="P22" s="441"/>
      <c r="Q22" s="460" t="s">
        <v>129</v>
      </c>
      <c r="R22" s="460">
        <f>+E6</f>
        <v>60000000</v>
      </c>
    </row>
    <row r="23" spans="1:18" s="423" customFormat="1" ht="14.25" customHeight="1" x14ac:dyDescent="0.25">
      <c r="B23" s="793"/>
      <c r="C23" s="458"/>
      <c r="D23" s="461">
        <f>+F13</f>
        <v>5600000</v>
      </c>
      <c r="E23" s="646">
        <f>+E15</f>
        <v>7.5758910122235568E-2</v>
      </c>
      <c r="F23" s="793"/>
      <c r="G23" s="462">
        <f>ROUND(+F17,0)</f>
        <v>72000000</v>
      </c>
      <c r="H23" s="459"/>
      <c r="I23" s="461">
        <f>+G13</f>
        <v>1399999.9999999998</v>
      </c>
      <c r="J23" s="646">
        <f>+F15</f>
        <v>7.5758910122235568E-2</v>
      </c>
      <c r="K23" s="793"/>
      <c r="L23" s="461">
        <f>ROUND(+G17,0)</f>
        <v>18000000</v>
      </c>
      <c r="M23" s="441"/>
      <c r="N23" s="463" t="s">
        <v>128</v>
      </c>
      <c r="O23" s="464">
        <f>+E14</f>
        <v>50</v>
      </c>
      <c r="P23" s="441"/>
      <c r="Q23" s="463" t="s">
        <v>128</v>
      </c>
      <c r="R23" s="464">
        <f>+F14</f>
        <v>50</v>
      </c>
    </row>
    <row r="24" spans="1:18" x14ac:dyDescent="0.25">
      <c r="B24" s="465"/>
      <c r="C24" s="466"/>
      <c r="D24" s="465"/>
      <c r="E24" s="465"/>
      <c r="F24" s="467"/>
      <c r="G24" s="465"/>
      <c r="H24" s="444"/>
      <c r="I24" s="468"/>
      <c r="J24" s="468"/>
      <c r="K24" s="469"/>
      <c r="L24" s="468"/>
      <c r="M24" s="436"/>
      <c r="N24" s="470" t="s">
        <v>102</v>
      </c>
      <c r="O24" s="471">
        <f>ROUND(+$O$22/$O$23/2,0)</f>
        <v>720000</v>
      </c>
      <c r="P24" s="436"/>
      <c r="Q24" s="470" t="s">
        <v>102</v>
      </c>
      <c r="R24" s="471">
        <f>ROUND(+$R$22/$R$23/2,0)</f>
        <v>600000</v>
      </c>
    </row>
    <row r="25" spans="1:18" x14ac:dyDescent="0.25">
      <c r="A25" s="429">
        <v>1</v>
      </c>
      <c r="B25" s="472">
        <v>44561</v>
      </c>
      <c r="C25" s="466"/>
      <c r="D25" s="465">
        <f>+D23</f>
        <v>5600000</v>
      </c>
      <c r="E25" s="465">
        <f>ROUND(+G23*E23,0)</f>
        <v>5454642</v>
      </c>
      <c r="F25" s="471">
        <f>+D25-E25</f>
        <v>145358</v>
      </c>
      <c r="G25" s="471">
        <f>+G23-F25</f>
        <v>71854642</v>
      </c>
      <c r="H25" s="454"/>
      <c r="I25" s="471">
        <f>+I23</f>
        <v>1399999.9999999998</v>
      </c>
      <c r="J25" s="465">
        <f>ROUND(+L23*J23,0)</f>
        <v>1363660</v>
      </c>
      <c r="K25" s="471">
        <f>+I25-J25</f>
        <v>36339.999999999767</v>
      </c>
      <c r="L25" s="471">
        <f>+L23-K25</f>
        <v>17963660</v>
      </c>
      <c r="M25" s="436"/>
      <c r="N25" s="470">
        <v>2022</v>
      </c>
      <c r="O25" s="471">
        <f t="shared" ref="O25" si="2">+$O$22/$O$23</f>
        <v>1439999.9923420302</v>
      </c>
      <c r="P25" s="436"/>
      <c r="Q25" s="470">
        <v>2022</v>
      </c>
      <c r="R25" s="471">
        <f>ROUND(+$R$22/$R$23,0)</f>
        <v>1200000</v>
      </c>
    </row>
    <row r="26" spans="1:18" x14ac:dyDescent="0.25">
      <c r="A26" s="429">
        <v>2</v>
      </c>
      <c r="B26" s="472">
        <v>44926</v>
      </c>
      <c r="C26" s="466"/>
      <c r="D26" s="471">
        <f>+D25</f>
        <v>5600000</v>
      </c>
      <c r="E26" s="471">
        <f>ROUND(+G25*$E$23,0)</f>
        <v>5443629</v>
      </c>
      <c r="F26" s="471">
        <f>+D26-E26</f>
        <v>156371</v>
      </c>
      <c r="G26" s="471">
        <f>+G25-F26</f>
        <v>71698271</v>
      </c>
      <c r="H26" s="454"/>
      <c r="I26" s="471">
        <f>+I25</f>
        <v>1399999.9999999998</v>
      </c>
      <c r="J26" s="471">
        <f>ROUND(+L25*$E$23,0)</f>
        <v>1360907</v>
      </c>
      <c r="K26" s="471">
        <f>+I26-J26</f>
        <v>39092.999999999767</v>
      </c>
      <c r="L26" s="471">
        <f>+L25-K26</f>
        <v>17924567</v>
      </c>
      <c r="M26" s="436"/>
      <c r="N26" s="470">
        <v>2023</v>
      </c>
      <c r="O26" s="471">
        <f>+$O$22/$O$23</f>
        <v>1439999.9923420302</v>
      </c>
      <c r="P26" s="436"/>
      <c r="Q26" s="470">
        <v>2023</v>
      </c>
      <c r="R26" s="471">
        <f t="shared" ref="R26:R73" si="3">ROUND(+$R$22/$R$23,0)</f>
        <v>1200000</v>
      </c>
    </row>
    <row r="27" spans="1:18" x14ac:dyDescent="0.25">
      <c r="A27" s="429">
        <v>3</v>
      </c>
      <c r="B27" s="472">
        <v>45291</v>
      </c>
      <c r="C27" s="466"/>
      <c r="D27" s="471">
        <f t="shared" ref="D27:D73" si="4">+D26</f>
        <v>5600000</v>
      </c>
      <c r="E27" s="471">
        <f t="shared" ref="E27:E74" si="5">ROUND(+G26*$E$23,0)</f>
        <v>5431783</v>
      </c>
      <c r="F27" s="471">
        <f t="shared" ref="F27:F74" si="6">+D27-E27</f>
        <v>168217</v>
      </c>
      <c r="G27" s="471">
        <f t="shared" ref="G27:G74" si="7">+G26-F27</f>
        <v>71530054</v>
      </c>
      <c r="H27" s="454"/>
      <c r="I27" s="471">
        <f t="shared" ref="I27:I73" si="8">+I26</f>
        <v>1399999.9999999998</v>
      </c>
      <c r="J27" s="471">
        <f t="shared" ref="J27:J74" si="9">ROUND(+L26*$E$23,0)</f>
        <v>1357946</v>
      </c>
      <c r="K27" s="471">
        <f t="shared" ref="K27:K74" si="10">+I27-J27</f>
        <v>42053.999999999767</v>
      </c>
      <c r="L27" s="471">
        <f t="shared" ref="L27:L74" si="11">+L26-K27</f>
        <v>17882513</v>
      </c>
      <c r="M27" s="436"/>
      <c r="N27" s="470">
        <v>2024</v>
      </c>
      <c r="O27" s="471">
        <f t="shared" ref="O27:O73" si="12">+$O$22/$O$23</f>
        <v>1439999.9923420302</v>
      </c>
      <c r="P27" s="436"/>
      <c r="Q27" s="470">
        <v>2024</v>
      </c>
      <c r="R27" s="471">
        <f t="shared" si="3"/>
        <v>1200000</v>
      </c>
    </row>
    <row r="28" spans="1:18" x14ac:dyDescent="0.25">
      <c r="A28" s="429">
        <v>4</v>
      </c>
      <c r="B28" s="472">
        <v>45657</v>
      </c>
      <c r="C28" s="466"/>
      <c r="D28" s="471">
        <f t="shared" si="4"/>
        <v>5600000</v>
      </c>
      <c r="E28" s="471">
        <f t="shared" si="5"/>
        <v>5419039</v>
      </c>
      <c r="F28" s="471">
        <f t="shared" si="6"/>
        <v>180961</v>
      </c>
      <c r="G28" s="471">
        <f t="shared" si="7"/>
        <v>71349093</v>
      </c>
      <c r="H28" s="454"/>
      <c r="I28" s="471">
        <f t="shared" si="8"/>
        <v>1399999.9999999998</v>
      </c>
      <c r="J28" s="471">
        <f t="shared" si="9"/>
        <v>1354760</v>
      </c>
      <c r="K28" s="471">
        <f t="shared" si="10"/>
        <v>45239.999999999767</v>
      </c>
      <c r="L28" s="471">
        <f t="shared" si="11"/>
        <v>17837273</v>
      </c>
      <c r="M28" s="436"/>
      <c r="N28" s="470">
        <v>2025</v>
      </c>
      <c r="O28" s="471">
        <f t="shared" si="12"/>
        <v>1439999.9923420302</v>
      </c>
      <c r="P28" s="436"/>
      <c r="Q28" s="470">
        <v>2025</v>
      </c>
      <c r="R28" s="471">
        <f t="shared" si="3"/>
        <v>1200000</v>
      </c>
    </row>
    <row r="29" spans="1:18" x14ac:dyDescent="0.25">
      <c r="A29" s="429">
        <v>5</v>
      </c>
      <c r="B29" s="472">
        <v>46022</v>
      </c>
      <c r="C29" s="466"/>
      <c r="D29" s="471">
        <f t="shared" si="4"/>
        <v>5600000</v>
      </c>
      <c r="E29" s="471">
        <f t="shared" si="5"/>
        <v>5405330</v>
      </c>
      <c r="F29" s="471">
        <f t="shared" si="6"/>
        <v>194670</v>
      </c>
      <c r="G29" s="471">
        <f t="shared" si="7"/>
        <v>71154423</v>
      </c>
      <c r="H29" s="454"/>
      <c r="I29" s="471">
        <f t="shared" si="8"/>
        <v>1399999.9999999998</v>
      </c>
      <c r="J29" s="471">
        <f t="shared" si="9"/>
        <v>1351332</v>
      </c>
      <c r="K29" s="471">
        <f t="shared" si="10"/>
        <v>48667.999999999767</v>
      </c>
      <c r="L29" s="471">
        <f t="shared" si="11"/>
        <v>17788605</v>
      </c>
      <c r="M29" s="436"/>
      <c r="N29" s="470">
        <v>2026</v>
      </c>
      <c r="O29" s="471">
        <f t="shared" si="12"/>
        <v>1439999.9923420302</v>
      </c>
      <c r="P29" s="436"/>
      <c r="Q29" s="470">
        <v>2026</v>
      </c>
      <c r="R29" s="471">
        <f t="shared" si="3"/>
        <v>1200000</v>
      </c>
    </row>
    <row r="30" spans="1:18" x14ac:dyDescent="0.25">
      <c r="A30" s="429">
        <v>6</v>
      </c>
      <c r="B30" s="472">
        <v>46387</v>
      </c>
      <c r="C30" s="466"/>
      <c r="D30" s="471">
        <f t="shared" si="4"/>
        <v>5600000</v>
      </c>
      <c r="E30" s="471">
        <f t="shared" si="5"/>
        <v>5390582</v>
      </c>
      <c r="F30" s="471">
        <f t="shared" si="6"/>
        <v>209418</v>
      </c>
      <c r="G30" s="471">
        <f t="shared" si="7"/>
        <v>70945005</v>
      </c>
      <c r="H30" s="454"/>
      <c r="I30" s="471">
        <f t="shared" si="8"/>
        <v>1399999.9999999998</v>
      </c>
      <c r="J30" s="471">
        <f t="shared" si="9"/>
        <v>1347645</v>
      </c>
      <c r="K30" s="471">
        <f t="shared" si="10"/>
        <v>52354.999999999767</v>
      </c>
      <c r="L30" s="471">
        <f t="shared" si="11"/>
        <v>17736250</v>
      </c>
      <c r="M30" s="436"/>
      <c r="N30" s="470">
        <v>2027</v>
      </c>
      <c r="O30" s="471">
        <f t="shared" si="12"/>
        <v>1439999.9923420302</v>
      </c>
      <c r="P30" s="436"/>
      <c r="Q30" s="470">
        <v>2027</v>
      </c>
      <c r="R30" s="471">
        <f t="shared" si="3"/>
        <v>1200000</v>
      </c>
    </row>
    <row r="31" spans="1:18" x14ac:dyDescent="0.25">
      <c r="A31" s="429">
        <v>7</v>
      </c>
      <c r="B31" s="472">
        <v>46752</v>
      </c>
      <c r="C31" s="466"/>
      <c r="D31" s="471">
        <f t="shared" si="4"/>
        <v>5600000</v>
      </c>
      <c r="E31" s="471">
        <f t="shared" si="5"/>
        <v>5374716</v>
      </c>
      <c r="F31" s="471">
        <f t="shared" si="6"/>
        <v>225284</v>
      </c>
      <c r="G31" s="471">
        <f t="shared" si="7"/>
        <v>70719721</v>
      </c>
      <c r="H31" s="454"/>
      <c r="I31" s="471">
        <f t="shared" si="8"/>
        <v>1399999.9999999998</v>
      </c>
      <c r="J31" s="471">
        <f t="shared" si="9"/>
        <v>1343679</v>
      </c>
      <c r="K31" s="471">
        <f t="shared" si="10"/>
        <v>56320.999999999767</v>
      </c>
      <c r="L31" s="471">
        <f t="shared" si="11"/>
        <v>17679929</v>
      </c>
      <c r="M31" s="436"/>
      <c r="N31" s="470">
        <v>2028</v>
      </c>
      <c r="O31" s="471">
        <f t="shared" si="12"/>
        <v>1439999.9923420302</v>
      </c>
      <c r="P31" s="436"/>
      <c r="Q31" s="470">
        <v>2028</v>
      </c>
      <c r="R31" s="471">
        <f t="shared" si="3"/>
        <v>1200000</v>
      </c>
    </row>
    <row r="32" spans="1:18" x14ac:dyDescent="0.25">
      <c r="A32" s="429">
        <v>8</v>
      </c>
      <c r="B32" s="472">
        <v>47118</v>
      </c>
      <c r="C32" s="466"/>
      <c r="D32" s="471">
        <f t="shared" si="4"/>
        <v>5600000</v>
      </c>
      <c r="E32" s="471">
        <f t="shared" si="5"/>
        <v>5357649</v>
      </c>
      <c r="F32" s="471">
        <f t="shared" si="6"/>
        <v>242351</v>
      </c>
      <c r="G32" s="471">
        <f t="shared" si="7"/>
        <v>70477370</v>
      </c>
      <c r="H32" s="454"/>
      <c r="I32" s="471">
        <f t="shared" si="8"/>
        <v>1399999.9999999998</v>
      </c>
      <c r="J32" s="471">
        <f t="shared" si="9"/>
        <v>1339412</v>
      </c>
      <c r="K32" s="471">
        <f t="shared" si="10"/>
        <v>60587.999999999767</v>
      </c>
      <c r="L32" s="471">
        <f t="shared" si="11"/>
        <v>17619341</v>
      </c>
      <c r="M32" s="436"/>
      <c r="N32" s="470">
        <v>2029</v>
      </c>
      <c r="O32" s="471">
        <f t="shared" si="12"/>
        <v>1439999.9923420302</v>
      </c>
      <c r="P32" s="436"/>
      <c r="Q32" s="470">
        <v>2029</v>
      </c>
      <c r="R32" s="471">
        <f t="shared" si="3"/>
        <v>1200000</v>
      </c>
    </row>
    <row r="33" spans="1:18" x14ac:dyDescent="0.25">
      <c r="A33" s="429">
        <v>9</v>
      </c>
      <c r="B33" s="472">
        <v>47483</v>
      </c>
      <c r="C33" s="466"/>
      <c r="D33" s="471">
        <f t="shared" si="4"/>
        <v>5600000</v>
      </c>
      <c r="E33" s="471">
        <f t="shared" si="5"/>
        <v>5339289</v>
      </c>
      <c r="F33" s="471">
        <f t="shared" si="6"/>
        <v>260711</v>
      </c>
      <c r="G33" s="471">
        <f t="shared" si="7"/>
        <v>70216659</v>
      </c>
      <c r="H33" s="454"/>
      <c r="I33" s="471">
        <f t="shared" si="8"/>
        <v>1399999.9999999998</v>
      </c>
      <c r="J33" s="471">
        <f t="shared" si="9"/>
        <v>1334822</v>
      </c>
      <c r="K33" s="471">
        <f t="shared" si="10"/>
        <v>65177.999999999767</v>
      </c>
      <c r="L33" s="471">
        <f t="shared" si="11"/>
        <v>17554163</v>
      </c>
      <c r="M33" s="436"/>
      <c r="N33" s="470">
        <v>2030</v>
      </c>
      <c r="O33" s="471">
        <f t="shared" si="12"/>
        <v>1439999.9923420302</v>
      </c>
      <c r="P33" s="436"/>
      <c r="Q33" s="470">
        <v>2030</v>
      </c>
      <c r="R33" s="471">
        <f t="shared" si="3"/>
        <v>1200000</v>
      </c>
    </row>
    <row r="34" spans="1:18" x14ac:dyDescent="0.25">
      <c r="A34" s="429">
        <v>10</v>
      </c>
      <c r="B34" s="472">
        <v>47848</v>
      </c>
      <c r="C34" s="466"/>
      <c r="D34" s="471">
        <f t="shared" si="4"/>
        <v>5600000</v>
      </c>
      <c r="E34" s="471">
        <f t="shared" si="5"/>
        <v>5319538</v>
      </c>
      <c r="F34" s="471">
        <f t="shared" si="6"/>
        <v>280462</v>
      </c>
      <c r="G34" s="471">
        <f t="shared" si="7"/>
        <v>69936197</v>
      </c>
      <c r="H34" s="454"/>
      <c r="I34" s="471">
        <f t="shared" si="8"/>
        <v>1399999.9999999998</v>
      </c>
      <c r="J34" s="471">
        <f t="shared" si="9"/>
        <v>1329884</v>
      </c>
      <c r="K34" s="471">
        <f t="shared" si="10"/>
        <v>70115.999999999767</v>
      </c>
      <c r="L34" s="471">
        <f t="shared" si="11"/>
        <v>17484047</v>
      </c>
      <c r="M34" s="436"/>
      <c r="N34" s="470">
        <v>2031</v>
      </c>
      <c r="O34" s="471">
        <f t="shared" si="12"/>
        <v>1439999.9923420302</v>
      </c>
      <c r="P34" s="436"/>
      <c r="Q34" s="470">
        <v>2031</v>
      </c>
      <c r="R34" s="471">
        <f t="shared" si="3"/>
        <v>1200000</v>
      </c>
    </row>
    <row r="35" spans="1:18" x14ac:dyDescent="0.25">
      <c r="A35" s="429">
        <v>11</v>
      </c>
      <c r="B35" s="472">
        <v>48213</v>
      </c>
      <c r="C35" s="466"/>
      <c r="D35" s="471">
        <f>+D34</f>
        <v>5600000</v>
      </c>
      <c r="E35" s="471">
        <f t="shared" si="5"/>
        <v>5298290</v>
      </c>
      <c r="F35" s="471">
        <f t="shared" si="6"/>
        <v>301710</v>
      </c>
      <c r="G35" s="471">
        <f t="shared" si="7"/>
        <v>69634487</v>
      </c>
      <c r="H35" s="454"/>
      <c r="I35" s="471">
        <f t="shared" si="8"/>
        <v>1399999.9999999998</v>
      </c>
      <c r="J35" s="471">
        <f t="shared" si="9"/>
        <v>1324572</v>
      </c>
      <c r="K35" s="471">
        <f t="shared" si="10"/>
        <v>75427.999999999767</v>
      </c>
      <c r="L35" s="471">
        <f t="shared" si="11"/>
        <v>17408619</v>
      </c>
      <c r="M35" s="436"/>
      <c r="N35" s="470">
        <v>2032</v>
      </c>
      <c r="O35" s="471">
        <f t="shared" si="12"/>
        <v>1439999.9923420302</v>
      </c>
      <c r="P35" s="436"/>
      <c r="Q35" s="470">
        <v>2032</v>
      </c>
      <c r="R35" s="471">
        <f t="shared" si="3"/>
        <v>1200000</v>
      </c>
    </row>
    <row r="36" spans="1:18" x14ac:dyDescent="0.25">
      <c r="A36" s="429">
        <v>12</v>
      </c>
      <c r="B36" s="472">
        <v>48579</v>
      </c>
      <c r="C36" s="466"/>
      <c r="D36" s="471">
        <f t="shared" si="4"/>
        <v>5600000</v>
      </c>
      <c r="E36" s="471">
        <f t="shared" si="5"/>
        <v>5275433</v>
      </c>
      <c r="F36" s="471">
        <f t="shared" si="6"/>
        <v>324567</v>
      </c>
      <c r="G36" s="471">
        <f t="shared" si="7"/>
        <v>69309920</v>
      </c>
      <c r="H36" s="454"/>
      <c r="I36" s="471">
        <f t="shared" si="8"/>
        <v>1399999.9999999998</v>
      </c>
      <c r="J36" s="471">
        <f t="shared" si="9"/>
        <v>1318858</v>
      </c>
      <c r="K36" s="471">
        <f t="shared" si="10"/>
        <v>81141.999999999767</v>
      </c>
      <c r="L36" s="471">
        <f t="shared" si="11"/>
        <v>17327477</v>
      </c>
      <c r="M36" s="436"/>
      <c r="N36" s="470">
        <v>2033</v>
      </c>
      <c r="O36" s="474">
        <f t="shared" si="12"/>
        <v>1439999.9923420302</v>
      </c>
      <c r="P36" s="473"/>
      <c r="Q36" s="470">
        <v>2033</v>
      </c>
      <c r="R36" s="471">
        <f t="shared" si="3"/>
        <v>1200000</v>
      </c>
    </row>
    <row r="37" spans="1:18" s="475" customFormat="1" x14ac:dyDescent="0.25">
      <c r="A37" s="429">
        <v>13</v>
      </c>
      <c r="B37" s="472">
        <v>48944</v>
      </c>
      <c r="C37" s="466"/>
      <c r="D37" s="471">
        <f t="shared" si="4"/>
        <v>5600000</v>
      </c>
      <c r="E37" s="471">
        <f t="shared" si="5"/>
        <v>5250844</v>
      </c>
      <c r="F37" s="471">
        <f t="shared" si="6"/>
        <v>349156</v>
      </c>
      <c r="G37" s="471">
        <f t="shared" si="7"/>
        <v>68960764</v>
      </c>
      <c r="H37" s="449"/>
      <c r="I37" s="471">
        <f t="shared" si="8"/>
        <v>1399999.9999999998</v>
      </c>
      <c r="J37" s="471">
        <f t="shared" si="9"/>
        <v>1312711</v>
      </c>
      <c r="K37" s="471">
        <f t="shared" si="10"/>
        <v>87288.999999999767</v>
      </c>
      <c r="L37" s="471">
        <f t="shared" si="11"/>
        <v>17240188</v>
      </c>
      <c r="M37" s="473"/>
      <c r="N37" s="470">
        <v>2034</v>
      </c>
      <c r="O37" s="474">
        <f t="shared" si="12"/>
        <v>1439999.9923420302</v>
      </c>
      <c r="P37" s="473"/>
      <c r="Q37" s="470">
        <v>2034</v>
      </c>
      <c r="R37" s="471">
        <f t="shared" si="3"/>
        <v>1200000</v>
      </c>
    </row>
    <row r="38" spans="1:18" s="475" customFormat="1" x14ac:dyDescent="0.25">
      <c r="A38" s="429">
        <v>14</v>
      </c>
      <c r="B38" s="472">
        <v>49309</v>
      </c>
      <c r="C38" s="466"/>
      <c r="D38" s="471">
        <f t="shared" si="4"/>
        <v>5600000</v>
      </c>
      <c r="E38" s="471">
        <f t="shared" si="5"/>
        <v>5224392</v>
      </c>
      <c r="F38" s="471">
        <f t="shared" si="6"/>
        <v>375608</v>
      </c>
      <c r="G38" s="471">
        <f t="shared" si="7"/>
        <v>68585156</v>
      </c>
      <c r="H38" s="449"/>
      <c r="I38" s="471">
        <f t="shared" si="8"/>
        <v>1399999.9999999998</v>
      </c>
      <c r="J38" s="471">
        <f t="shared" si="9"/>
        <v>1306098</v>
      </c>
      <c r="K38" s="471">
        <f t="shared" si="10"/>
        <v>93901.999999999767</v>
      </c>
      <c r="L38" s="471">
        <f t="shared" si="11"/>
        <v>17146286</v>
      </c>
      <c r="M38" s="473"/>
      <c r="N38" s="470">
        <v>2035</v>
      </c>
      <c r="O38" s="474">
        <f t="shared" si="12"/>
        <v>1439999.9923420302</v>
      </c>
      <c r="P38" s="473"/>
      <c r="Q38" s="470">
        <v>2035</v>
      </c>
      <c r="R38" s="471">
        <f t="shared" si="3"/>
        <v>1200000</v>
      </c>
    </row>
    <row r="39" spans="1:18" s="475" customFormat="1" x14ac:dyDescent="0.25">
      <c r="A39" s="429">
        <v>15</v>
      </c>
      <c r="B39" s="472">
        <v>49674</v>
      </c>
      <c r="C39" s="466"/>
      <c r="D39" s="471">
        <f t="shared" si="4"/>
        <v>5600000</v>
      </c>
      <c r="E39" s="471">
        <f t="shared" si="5"/>
        <v>5195937</v>
      </c>
      <c r="F39" s="471">
        <f t="shared" si="6"/>
        <v>404063</v>
      </c>
      <c r="G39" s="471">
        <f t="shared" si="7"/>
        <v>68181093</v>
      </c>
      <c r="H39" s="449"/>
      <c r="I39" s="471">
        <f t="shared" si="8"/>
        <v>1399999.9999999998</v>
      </c>
      <c r="J39" s="471">
        <f t="shared" si="9"/>
        <v>1298984</v>
      </c>
      <c r="K39" s="471">
        <f t="shared" si="10"/>
        <v>101015.99999999977</v>
      </c>
      <c r="L39" s="471">
        <f t="shared" si="11"/>
        <v>17045270</v>
      </c>
      <c r="M39" s="473"/>
      <c r="N39" s="470">
        <v>2036</v>
      </c>
      <c r="O39" s="474">
        <f t="shared" si="12"/>
        <v>1439999.9923420302</v>
      </c>
      <c r="P39" s="473"/>
      <c r="Q39" s="470">
        <v>2036</v>
      </c>
      <c r="R39" s="471">
        <f t="shared" si="3"/>
        <v>1200000</v>
      </c>
    </row>
    <row r="40" spans="1:18" s="475" customFormat="1" x14ac:dyDescent="0.25">
      <c r="A40" s="429">
        <v>16</v>
      </c>
      <c r="B40" s="472">
        <v>50040</v>
      </c>
      <c r="C40" s="466"/>
      <c r="D40" s="471">
        <f t="shared" si="4"/>
        <v>5600000</v>
      </c>
      <c r="E40" s="471">
        <f t="shared" si="5"/>
        <v>5165325</v>
      </c>
      <c r="F40" s="471">
        <f t="shared" si="6"/>
        <v>434675</v>
      </c>
      <c r="G40" s="471">
        <f t="shared" si="7"/>
        <v>67746418</v>
      </c>
      <c r="H40" s="449"/>
      <c r="I40" s="471">
        <f t="shared" si="8"/>
        <v>1399999.9999999998</v>
      </c>
      <c r="J40" s="471">
        <f t="shared" si="9"/>
        <v>1291331</v>
      </c>
      <c r="K40" s="471">
        <f t="shared" si="10"/>
        <v>108668.99999999977</v>
      </c>
      <c r="L40" s="471">
        <f t="shared" si="11"/>
        <v>16936601</v>
      </c>
      <c r="M40" s="473"/>
      <c r="N40" s="470">
        <v>2037</v>
      </c>
      <c r="O40" s="474">
        <f t="shared" si="12"/>
        <v>1439999.9923420302</v>
      </c>
      <c r="P40" s="473"/>
      <c r="Q40" s="470">
        <v>2037</v>
      </c>
      <c r="R40" s="471">
        <f t="shared" si="3"/>
        <v>1200000</v>
      </c>
    </row>
    <row r="41" spans="1:18" s="475" customFormat="1" x14ac:dyDescent="0.25">
      <c r="A41" s="429">
        <v>17</v>
      </c>
      <c r="B41" s="472">
        <v>50405</v>
      </c>
      <c r="C41" s="466"/>
      <c r="D41" s="471">
        <f t="shared" si="4"/>
        <v>5600000</v>
      </c>
      <c r="E41" s="471">
        <f t="shared" si="5"/>
        <v>5132395</v>
      </c>
      <c r="F41" s="471">
        <f t="shared" si="6"/>
        <v>467605</v>
      </c>
      <c r="G41" s="471">
        <f t="shared" si="7"/>
        <v>67278813</v>
      </c>
      <c r="H41" s="449"/>
      <c r="I41" s="471">
        <f t="shared" si="8"/>
        <v>1399999.9999999998</v>
      </c>
      <c r="J41" s="471">
        <f t="shared" si="9"/>
        <v>1283098</v>
      </c>
      <c r="K41" s="471">
        <f t="shared" si="10"/>
        <v>116901.99999999977</v>
      </c>
      <c r="L41" s="471">
        <f t="shared" si="11"/>
        <v>16819699</v>
      </c>
      <c r="M41" s="473"/>
      <c r="N41" s="470">
        <v>2038</v>
      </c>
      <c r="O41" s="474">
        <f t="shared" si="12"/>
        <v>1439999.9923420302</v>
      </c>
      <c r="P41" s="473"/>
      <c r="Q41" s="470">
        <v>2038</v>
      </c>
      <c r="R41" s="471">
        <f t="shared" si="3"/>
        <v>1200000</v>
      </c>
    </row>
    <row r="42" spans="1:18" s="475" customFormat="1" x14ac:dyDescent="0.25">
      <c r="A42" s="429">
        <v>18</v>
      </c>
      <c r="B42" s="472">
        <v>50770</v>
      </c>
      <c r="C42" s="466"/>
      <c r="D42" s="471">
        <f t="shared" si="4"/>
        <v>5600000</v>
      </c>
      <c r="E42" s="471">
        <f t="shared" si="5"/>
        <v>5096970</v>
      </c>
      <c r="F42" s="471">
        <f t="shared" si="6"/>
        <v>503030</v>
      </c>
      <c r="G42" s="471">
        <f t="shared" si="7"/>
        <v>66775783</v>
      </c>
      <c r="H42" s="449"/>
      <c r="I42" s="471">
        <f t="shared" si="8"/>
        <v>1399999.9999999998</v>
      </c>
      <c r="J42" s="471">
        <f t="shared" si="9"/>
        <v>1274242</v>
      </c>
      <c r="K42" s="471">
        <f t="shared" si="10"/>
        <v>125757.99999999977</v>
      </c>
      <c r="L42" s="471">
        <f t="shared" si="11"/>
        <v>16693941</v>
      </c>
      <c r="M42" s="473"/>
      <c r="N42" s="470">
        <v>2039</v>
      </c>
      <c r="O42" s="474">
        <f t="shared" si="12"/>
        <v>1439999.9923420302</v>
      </c>
      <c r="P42" s="473"/>
      <c r="Q42" s="470">
        <v>2039</v>
      </c>
      <c r="R42" s="471">
        <f t="shared" si="3"/>
        <v>1200000</v>
      </c>
    </row>
    <row r="43" spans="1:18" s="475" customFormat="1" x14ac:dyDescent="0.25">
      <c r="A43" s="429">
        <v>19</v>
      </c>
      <c r="B43" s="472">
        <v>51135</v>
      </c>
      <c r="C43" s="466"/>
      <c r="D43" s="471">
        <f t="shared" si="4"/>
        <v>5600000</v>
      </c>
      <c r="E43" s="471">
        <f t="shared" si="5"/>
        <v>5058861</v>
      </c>
      <c r="F43" s="471">
        <f t="shared" si="6"/>
        <v>541139</v>
      </c>
      <c r="G43" s="471">
        <f t="shared" si="7"/>
        <v>66234644</v>
      </c>
      <c r="H43" s="449"/>
      <c r="I43" s="471">
        <f t="shared" si="8"/>
        <v>1399999.9999999998</v>
      </c>
      <c r="J43" s="471">
        <f t="shared" si="9"/>
        <v>1264715</v>
      </c>
      <c r="K43" s="471">
        <f t="shared" si="10"/>
        <v>135284.99999999977</v>
      </c>
      <c r="L43" s="471">
        <f t="shared" si="11"/>
        <v>16558656</v>
      </c>
      <c r="M43" s="473"/>
      <c r="N43" s="470">
        <v>2040</v>
      </c>
      <c r="O43" s="474">
        <f t="shared" si="12"/>
        <v>1439999.9923420302</v>
      </c>
      <c r="P43" s="473"/>
      <c r="Q43" s="470">
        <v>2040</v>
      </c>
      <c r="R43" s="471">
        <f t="shared" si="3"/>
        <v>1200000</v>
      </c>
    </row>
    <row r="44" spans="1:18" s="475" customFormat="1" x14ac:dyDescent="0.25">
      <c r="A44" s="429">
        <v>20</v>
      </c>
      <c r="B44" s="472">
        <v>51501</v>
      </c>
      <c r="C44" s="466"/>
      <c r="D44" s="471">
        <f t="shared" si="4"/>
        <v>5600000</v>
      </c>
      <c r="E44" s="471">
        <f t="shared" si="5"/>
        <v>5017864</v>
      </c>
      <c r="F44" s="471">
        <f t="shared" si="6"/>
        <v>582136</v>
      </c>
      <c r="G44" s="471">
        <f t="shared" si="7"/>
        <v>65652508</v>
      </c>
      <c r="H44" s="449"/>
      <c r="I44" s="471">
        <f t="shared" si="8"/>
        <v>1399999.9999999998</v>
      </c>
      <c r="J44" s="471">
        <f t="shared" si="9"/>
        <v>1254466</v>
      </c>
      <c r="K44" s="471">
        <f t="shared" si="10"/>
        <v>145533.99999999977</v>
      </c>
      <c r="L44" s="471">
        <f t="shared" si="11"/>
        <v>16413122</v>
      </c>
      <c r="M44" s="473"/>
      <c r="N44" s="470">
        <v>2041</v>
      </c>
      <c r="O44" s="474">
        <f t="shared" si="12"/>
        <v>1439999.9923420302</v>
      </c>
      <c r="P44" s="473"/>
      <c r="Q44" s="470">
        <v>2041</v>
      </c>
      <c r="R44" s="471">
        <f t="shared" si="3"/>
        <v>1200000</v>
      </c>
    </row>
    <row r="45" spans="1:18" s="475" customFormat="1" x14ac:dyDescent="0.25">
      <c r="A45" s="429">
        <v>21</v>
      </c>
      <c r="B45" s="472">
        <v>51866</v>
      </c>
      <c r="C45" s="466"/>
      <c r="D45" s="471">
        <f t="shared" si="4"/>
        <v>5600000</v>
      </c>
      <c r="E45" s="471">
        <f t="shared" si="5"/>
        <v>4973762</v>
      </c>
      <c r="F45" s="471">
        <f t="shared" si="6"/>
        <v>626238</v>
      </c>
      <c r="G45" s="471">
        <f t="shared" si="7"/>
        <v>65026270</v>
      </c>
      <c r="H45" s="449"/>
      <c r="I45" s="471">
        <f t="shared" si="8"/>
        <v>1399999.9999999998</v>
      </c>
      <c r="J45" s="471">
        <f t="shared" si="9"/>
        <v>1243440</v>
      </c>
      <c r="K45" s="471">
        <f t="shared" si="10"/>
        <v>156559.99999999977</v>
      </c>
      <c r="L45" s="471">
        <f t="shared" si="11"/>
        <v>16256562</v>
      </c>
      <c r="M45" s="473"/>
      <c r="N45" s="470">
        <v>2042</v>
      </c>
      <c r="O45" s="474">
        <f t="shared" si="12"/>
        <v>1439999.9923420302</v>
      </c>
      <c r="P45" s="473"/>
      <c r="Q45" s="470">
        <v>2042</v>
      </c>
      <c r="R45" s="471">
        <f t="shared" si="3"/>
        <v>1200000</v>
      </c>
    </row>
    <row r="46" spans="1:18" s="475" customFormat="1" x14ac:dyDescent="0.25">
      <c r="A46" s="429">
        <v>22</v>
      </c>
      <c r="B46" s="472">
        <v>52231</v>
      </c>
      <c r="C46" s="466"/>
      <c r="D46" s="471">
        <f t="shared" si="4"/>
        <v>5600000</v>
      </c>
      <c r="E46" s="471">
        <f t="shared" si="5"/>
        <v>4926319</v>
      </c>
      <c r="F46" s="471">
        <f t="shared" si="6"/>
        <v>673681</v>
      </c>
      <c r="G46" s="471">
        <f t="shared" si="7"/>
        <v>64352589</v>
      </c>
      <c r="H46" s="449"/>
      <c r="I46" s="471">
        <f t="shared" si="8"/>
        <v>1399999.9999999998</v>
      </c>
      <c r="J46" s="471">
        <f t="shared" si="9"/>
        <v>1231579</v>
      </c>
      <c r="K46" s="471">
        <f t="shared" si="10"/>
        <v>168420.99999999977</v>
      </c>
      <c r="L46" s="471">
        <f t="shared" si="11"/>
        <v>16088141</v>
      </c>
      <c r="M46" s="473"/>
      <c r="N46" s="470">
        <v>2043</v>
      </c>
      <c r="O46" s="474">
        <f t="shared" si="12"/>
        <v>1439999.9923420302</v>
      </c>
      <c r="P46" s="473"/>
      <c r="Q46" s="470">
        <v>2043</v>
      </c>
      <c r="R46" s="471">
        <f t="shared" si="3"/>
        <v>1200000</v>
      </c>
    </row>
    <row r="47" spans="1:18" s="475" customFormat="1" x14ac:dyDescent="0.25">
      <c r="A47" s="429">
        <v>23</v>
      </c>
      <c r="B47" s="472">
        <v>52596</v>
      </c>
      <c r="C47" s="466"/>
      <c r="D47" s="471">
        <f t="shared" si="4"/>
        <v>5600000</v>
      </c>
      <c r="E47" s="471">
        <f t="shared" si="5"/>
        <v>4875282</v>
      </c>
      <c r="F47" s="471">
        <f t="shared" si="6"/>
        <v>724718</v>
      </c>
      <c r="G47" s="471">
        <f t="shared" si="7"/>
        <v>63627871</v>
      </c>
      <c r="H47" s="449"/>
      <c r="I47" s="471">
        <f t="shared" si="8"/>
        <v>1399999.9999999998</v>
      </c>
      <c r="J47" s="471">
        <f t="shared" si="9"/>
        <v>1218820</v>
      </c>
      <c r="K47" s="471">
        <f t="shared" si="10"/>
        <v>181179.99999999977</v>
      </c>
      <c r="L47" s="471">
        <f t="shared" si="11"/>
        <v>15906961</v>
      </c>
      <c r="M47" s="473"/>
      <c r="N47" s="470">
        <v>2044</v>
      </c>
      <c r="O47" s="474">
        <f t="shared" si="12"/>
        <v>1439999.9923420302</v>
      </c>
      <c r="P47" s="473"/>
      <c r="Q47" s="470">
        <v>2044</v>
      </c>
      <c r="R47" s="471">
        <f t="shared" si="3"/>
        <v>1200000</v>
      </c>
    </row>
    <row r="48" spans="1:18" s="475" customFormat="1" x14ac:dyDescent="0.25">
      <c r="A48" s="429">
        <v>24</v>
      </c>
      <c r="B48" s="472">
        <v>52962</v>
      </c>
      <c r="C48" s="466"/>
      <c r="D48" s="471">
        <f t="shared" si="4"/>
        <v>5600000</v>
      </c>
      <c r="E48" s="471">
        <f t="shared" si="5"/>
        <v>4820378</v>
      </c>
      <c r="F48" s="471">
        <f t="shared" si="6"/>
        <v>779622</v>
      </c>
      <c r="G48" s="471">
        <f t="shared" si="7"/>
        <v>62848249</v>
      </c>
      <c r="H48" s="449"/>
      <c r="I48" s="471">
        <f t="shared" si="8"/>
        <v>1399999.9999999998</v>
      </c>
      <c r="J48" s="471">
        <f t="shared" si="9"/>
        <v>1205094</v>
      </c>
      <c r="K48" s="471">
        <f t="shared" si="10"/>
        <v>194905.99999999977</v>
      </c>
      <c r="L48" s="471">
        <f t="shared" si="11"/>
        <v>15712055</v>
      </c>
      <c r="M48" s="473"/>
      <c r="N48" s="470">
        <v>2045</v>
      </c>
      <c r="O48" s="474">
        <f t="shared" si="12"/>
        <v>1439999.9923420302</v>
      </c>
      <c r="P48" s="473"/>
      <c r="Q48" s="470">
        <v>2045</v>
      </c>
      <c r="R48" s="471">
        <f t="shared" si="3"/>
        <v>1200000</v>
      </c>
    </row>
    <row r="49" spans="1:18" s="475" customFormat="1" x14ac:dyDescent="0.25">
      <c r="A49" s="429">
        <v>25</v>
      </c>
      <c r="B49" s="472">
        <v>53327</v>
      </c>
      <c r="C49" s="466"/>
      <c r="D49" s="471">
        <f t="shared" si="4"/>
        <v>5600000</v>
      </c>
      <c r="E49" s="471">
        <f t="shared" si="5"/>
        <v>4761315</v>
      </c>
      <c r="F49" s="471">
        <f t="shared" si="6"/>
        <v>838685</v>
      </c>
      <c r="G49" s="471">
        <f t="shared" si="7"/>
        <v>62009564</v>
      </c>
      <c r="H49" s="449"/>
      <c r="I49" s="471">
        <f t="shared" si="8"/>
        <v>1399999.9999999998</v>
      </c>
      <c r="J49" s="471">
        <f t="shared" si="9"/>
        <v>1190328</v>
      </c>
      <c r="K49" s="471">
        <f t="shared" si="10"/>
        <v>209671.99999999977</v>
      </c>
      <c r="L49" s="471">
        <f t="shared" si="11"/>
        <v>15502383</v>
      </c>
      <c r="M49" s="473"/>
      <c r="N49" s="470">
        <v>2046</v>
      </c>
      <c r="O49" s="474">
        <f t="shared" si="12"/>
        <v>1439999.9923420302</v>
      </c>
      <c r="P49" s="473"/>
      <c r="Q49" s="470">
        <v>2046</v>
      </c>
      <c r="R49" s="471">
        <f t="shared" si="3"/>
        <v>1200000</v>
      </c>
    </row>
    <row r="50" spans="1:18" s="475" customFormat="1" x14ac:dyDescent="0.25">
      <c r="A50" s="429">
        <v>26</v>
      </c>
      <c r="B50" s="472">
        <v>53692</v>
      </c>
      <c r="C50" s="466"/>
      <c r="D50" s="471">
        <f t="shared" si="4"/>
        <v>5600000</v>
      </c>
      <c r="E50" s="471">
        <f t="shared" si="5"/>
        <v>4697777</v>
      </c>
      <c r="F50" s="471">
        <f t="shared" si="6"/>
        <v>902223</v>
      </c>
      <c r="G50" s="471">
        <f t="shared" si="7"/>
        <v>61107341</v>
      </c>
      <c r="H50" s="449"/>
      <c r="I50" s="471">
        <f t="shared" si="8"/>
        <v>1399999.9999999998</v>
      </c>
      <c r="J50" s="471">
        <f t="shared" si="9"/>
        <v>1174444</v>
      </c>
      <c r="K50" s="471">
        <f t="shared" si="10"/>
        <v>225555.99999999977</v>
      </c>
      <c r="L50" s="471">
        <f t="shared" si="11"/>
        <v>15276827</v>
      </c>
      <c r="M50" s="473"/>
      <c r="N50" s="470">
        <v>2047</v>
      </c>
      <c r="O50" s="474">
        <f t="shared" si="12"/>
        <v>1439999.9923420302</v>
      </c>
      <c r="P50" s="473"/>
      <c r="Q50" s="470">
        <v>2047</v>
      </c>
      <c r="R50" s="471">
        <f t="shared" si="3"/>
        <v>1200000</v>
      </c>
    </row>
    <row r="51" spans="1:18" s="475" customFormat="1" x14ac:dyDescent="0.25">
      <c r="A51" s="429">
        <v>27</v>
      </c>
      <c r="B51" s="472">
        <v>54057</v>
      </c>
      <c r="C51" s="466"/>
      <c r="D51" s="471">
        <f t="shared" si="4"/>
        <v>5600000</v>
      </c>
      <c r="E51" s="471">
        <f t="shared" si="5"/>
        <v>4629426</v>
      </c>
      <c r="F51" s="471">
        <f t="shared" si="6"/>
        <v>970574</v>
      </c>
      <c r="G51" s="471">
        <f t="shared" si="7"/>
        <v>60136767</v>
      </c>
      <c r="H51" s="449"/>
      <c r="I51" s="471">
        <f t="shared" si="8"/>
        <v>1399999.9999999998</v>
      </c>
      <c r="J51" s="471">
        <f t="shared" si="9"/>
        <v>1157356</v>
      </c>
      <c r="K51" s="471">
        <f t="shared" si="10"/>
        <v>242643.99999999977</v>
      </c>
      <c r="L51" s="471">
        <f t="shared" si="11"/>
        <v>15034183</v>
      </c>
      <c r="M51" s="473"/>
      <c r="N51" s="470">
        <v>2048</v>
      </c>
      <c r="O51" s="474">
        <f t="shared" si="12"/>
        <v>1439999.9923420302</v>
      </c>
      <c r="P51" s="473"/>
      <c r="Q51" s="470">
        <v>2048</v>
      </c>
      <c r="R51" s="471">
        <f t="shared" si="3"/>
        <v>1200000</v>
      </c>
    </row>
    <row r="52" spans="1:18" s="475" customFormat="1" x14ac:dyDescent="0.25">
      <c r="A52" s="429">
        <v>28</v>
      </c>
      <c r="B52" s="472">
        <v>54423</v>
      </c>
      <c r="C52" s="466"/>
      <c r="D52" s="471">
        <f t="shared" si="4"/>
        <v>5600000</v>
      </c>
      <c r="E52" s="471">
        <f t="shared" si="5"/>
        <v>4555896</v>
      </c>
      <c r="F52" s="471">
        <f t="shared" si="6"/>
        <v>1044104</v>
      </c>
      <c r="G52" s="471">
        <f t="shared" si="7"/>
        <v>59092663</v>
      </c>
      <c r="H52" s="449"/>
      <c r="I52" s="471">
        <f t="shared" si="8"/>
        <v>1399999.9999999998</v>
      </c>
      <c r="J52" s="471">
        <f t="shared" si="9"/>
        <v>1138973</v>
      </c>
      <c r="K52" s="471">
        <f t="shared" si="10"/>
        <v>261026.99999999977</v>
      </c>
      <c r="L52" s="471">
        <f t="shared" si="11"/>
        <v>14773156</v>
      </c>
      <c r="M52" s="473"/>
      <c r="N52" s="470">
        <v>2049</v>
      </c>
      <c r="O52" s="474">
        <f t="shared" si="12"/>
        <v>1439999.9923420302</v>
      </c>
      <c r="P52" s="473"/>
      <c r="Q52" s="470">
        <v>2049</v>
      </c>
      <c r="R52" s="471">
        <f t="shared" si="3"/>
        <v>1200000</v>
      </c>
    </row>
    <row r="53" spans="1:18" s="475" customFormat="1" x14ac:dyDescent="0.25">
      <c r="A53" s="429">
        <v>29</v>
      </c>
      <c r="B53" s="472">
        <v>54788</v>
      </c>
      <c r="C53" s="466"/>
      <c r="D53" s="471">
        <f t="shared" si="4"/>
        <v>5600000</v>
      </c>
      <c r="E53" s="471">
        <f t="shared" si="5"/>
        <v>4476796</v>
      </c>
      <c r="F53" s="471">
        <f t="shared" si="6"/>
        <v>1123204</v>
      </c>
      <c r="G53" s="471">
        <f t="shared" si="7"/>
        <v>57969459</v>
      </c>
      <c r="H53" s="449"/>
      <c r="I53" s="471">
        <f t="shared" si="8"/>
        <v>1399999.9999999998</v>
      </c>
      <c r="J53" s="471">
        <f t="shared" si="9"/>
        <v>1119198</v>
      </c>
      <c r="K53" s="471">
        <f t="shared" si="10"/>
        <v>280801.99999999977</v>
      </c>
      <c r="L53" s="471">
        <f t="shared" si="11"/>
        <v>14492354</v>
      </c>
      <c r="M53" s="473"/>
      <c r="N53" s="470">
        <v>2050</v>
      </c>
      <c r="O53" s="474">
        <f t="shared" si="12"/>
        <v>1439999.9923420302</v>
      </c>
      <c r="P53" s="473"/>
      <c r="Q53" s="470">
        <v>2050</v>
      </c>
      <c r="R53" s="471">
        <f t="shared" si="3"/>
        <v>1200000</v>
      </c>
    </row>
    <row r="54" spans="1:18" s="475" customFormat="1" x14ac:dyDescent="0.25">
      <c r="A54" s="429">
        <v>30</v>
      </c>
      <c r="B54" s="472">
        <v>55153</v>
      </c>
      <c r="C54" s="466"/>
      <c r="D54" s="471">
        <f t="shared" si="4"/>
        <v>5600000</v>
      </c>
      <c r="E54" s="471">
        <f t="shared" si="5"/>
        <v>4391703</v>
      </c>
      <c r="F54" s="471">
        <f t="shared" si="6"/>
        <v>1208297</v>
      </c>
      <c r="G54" s="471">
        <f t="shared" si="7"/>
        <v>56761162</v>
      </c>
      <c r="H54" s="449"/>
      <c r="I54" s="471">
        <f t="shared" si="8"/>
        <v>1399999.9999999998</v>
      </c>
      <c r="J54" s="471">
        <f t="shared" si="9"/>
        <v>1097925</v>
      </c>
      <c r="K54" s="471">
        <f t="shared" si="10"/>
        <v>302074.99999999977</v>
      </c>
      <c r="L54" s="471">
        <f t="shared" si="11"/>
        <v>14190279</v>
      </c>
      <c r="M54" s="473"/>
      <c r="N54" s="470">
        <v>2051</v>
      </c>
      <c r="O54" s="474">
        <f t="shared" si="12"/>
        <v>1439999.9923420302</v>
      </c>
      <c r="P54" s="473"/>
      <c r="Q54" s="470">
        <v>2051</v>
      </c>
      <c r="R54" s="471">
        <f t="shared" si="3"/>
        <v>1200000</v>
      </c>
    </row>
    <row r="55" spans="1:18" s="475" customFormat="1" x14ac:dyDescent="0.25">
      <c r="A55" s="429">
        <v>31</v>
      </c>
      <c r="B55" s="472">
        <v>55518</v>
      </c>
      <c r="C55" s="466"/>
      <c r="D55" s="471">
        <f t="shared" si="4"/>
        <v>5600000</v>
      </c>
      <c r="E55" s="471">
        <f t="shared" si="5"/>
        <v>4300164</v>
      </c>
      <c r="F55" s="471">
        <f t="shared" si="6"/>
        <v>1299836</v>
      </c>
      <c r="G55" s="471">
        <f t="shared" si="7"/>
        <v>55461326</v>
      </c>
      <c r="H55" s="449"/>
      <c r="I55" s="471">
        <f t="shared" si="8"/>
        <v>1399999.9999999998</v>
      </c>
      <c r="J55" s="471">
        <f t="shared" si="9"/>
        <v>1075040</v>
      </c>
      <c r="K55" s="471">
        <f t="shared" si="10"/>
        <v>324959.99999999977</v>
      </c>
      <c r="L55" s="471">
        <f t="shared" si="11"/>
        <v>13865319</v>
      </c>
      <c r="M55" s="473"/>
      <c r="N55" s="470">
        <v>2052</v>
      </c>
      <c r="O55" s="474">
        <f t="shared" si="12"/>
        <v>1439999.9923420302</v>
      </c>
      <c r="P55" s="473"/>
      <c r="Q55" s="470">
        <v>2052</v>
      </c>
      <c r="R55" s="471">
        <f t="shared" si="3"/>
        <v>1200000</v>
      </c>
    </row>
    <row r="56" spans="1:18" s="475" customFormat="1" x14ac:dyDescent="0.25">
      <c r="A56" s="429">
        <v>32</v>
      </c>
      <c r="B56" s="472">
        <v>55884</v>
      </c>
      <c r="C56" s="466"/>
      <c r="D56" s="471">
        <f t="shared" si="4"/>
        <v>5600000</v>
      </c>
      <c r="E56" s="471">
        <f t="shared" si="5"/>
        <v>4201690</v>
      </c>
      <c r="F56" s="471">
        <f t="shared" si="6"/>
        <v>1398310</v>
      </c>
      <c r="G56" s="471">
        <f t="shared" si="7"/>
        <v>54063016</v>
      </c>
      <c r="H56" s="449"/>
      <c r="I56" s="471">
        <f t="shared" si="8"/>
        <v>1399999.9999999998</v>
      </c>
      <c r="J56" s="471">
        <f t="shared" si="9"/>
        <v>1050421</v>
      </c>
      <c r="K56" s="471">
        <f t="shared" si="10"/>
        <v>349578.99999999977</v>
      </c>
      <c r="L56" s="471">
        <f t="shared" si="11"/>
        <v>13515740</v>
      </c>
      <c r="M56" s="473"/>
      <c r="N56" s="470">
        <v>2053</v>
      </c>
      <c r="O56" s="474">
        <f t="shared" si="12"/>
        <v>1439999.9923420302</v>
      </c>
      <c r="P56" s="473"/>
      <c r="Q56" s="470">
        <v>2053</v>
      </c>
      <c r="R56" s="471">
        <f t="shared" si="3"/>
        <v>1200000</v>
      </c>
    </row>
    <row r="57" spans="1:18" s="475" customFormat="1" x14ac:dyDescent="0.25">
      <c r="A57" s="429">
        <v>33</v>
      </c>
      <c r="B57" s="472">
        <v>56249</v>
      </c>
      <c r="C57" s="466"/>
      <c r="D57" s="471">
        <f t="shared" si="4"/>
        <v>5600000</v>
      </c>
      <c r="E57" s="471">
        <f t="shared" si="5"/>
        <v>4095755</v>
      </c>
      <c r="F57" s="471">
        <f t="shared" si="6"/>
        <v>1504245</v>
      </c>
      <c r="G57" s="471">
        <f t="shared" si="7"/>
        <v>52558771</v>
      </c>
      <c r="H57" s="449"/>
      <c r="I57" s="471">
        <f t="shared" si="8"/>
        <v>1399999.9999999998</v>
      </c>
      <c r="J57" s="471">
        <f t="shared" si="9"/>
        <v>1023938</v>
      </c>
      <c r="K57" s="471">
        <f t="shared" si="10"/>
        <v>376061.99999999977</v>
      </c>
      <c r="L57" s="471">
        <f t="shared" si="11"/>
        <v>13139678</v>
      </c>
      <c r="M57" s="473"/>
      <c r="N57" s="470">
        <v>2054</v>
      </c>
      <c r="O57" s="474">
        <f t="shared" si="12"/>
        <v>1439999.9923420302</v>
      </c>
      <c r="P57" s="473"/>
      <c r="Q57" s="470">
        <v>2054</v>
      </c>
      <c r="R57" s="471">
        <f t="shared" si="3"/>
        <v>1200000</v>
      </c>
    </row>
    <row r="58" spans="1:18" s="475" customFormat="1" x14ac:dyDescent="0.25">
      <c r="A58" s="429">
        <v>34</v>
      </c>
      <c r="B58" s="472">
        <v>56614</v>
      </c>
      <c r="C58" s="466"/>
      <c r="D58" s="471">
        <f t="shared" si="4"/>
        <v>5600000</v>
      </c>
      <c r="E58" s="471">
        <f t="shared" si="5"/>
        <v>3981795</v>
      </c>
      <c r="F58" s="471">
        <f t="shared" si="6"/>
        <v>1618205</v>
      </c>
      <c r="G58" s="471">
        <f t="shared" si="7"/>
        <v>50940566</v>
      </c>
      <c r="H58" s="449"/>
      <c r="I58" s="471">
        <f t="shared" si="8"/>
        <v>1399999.9999999998</v>
      </c>
      <c r="J58" s="471">
        <f t="shared" si="9"/>
        <v>995448</v>
      </c>
      <c r="K58" s="471">
        <f t="shared" si="10"/>
        <v>404551.99999999977</v>
      </c>
      <c r="L58" s="471">
        <f t="shared" si="11"/>
        <v>12735126</v>
      </c>
      <c r="M58" s="473"/>
      <c r="N58" s="470">
        <v>2055</v>
      </c>
      <c r="O58" s="474">
        <f t="shared" si="12"/>
        <v>1439999.9923420302</v>
      </c>
      <c r="P58" s="473"/>
      <c r="Q58" s="470">
        <v>2055</v>
      </c>
      <c r="R58" s="471">
        <f t="shared" si="3"/>
        <v>1200000</v>
      </c>
    </row>
    <row r="59" spans="1:18" s="475" customFormat="1" x14ac:dyDescent="0.25">
      <c r="A59" s="429">
        <v>35</v>
      </c>
      <c r="B59" s="472">
        <v>56979</v>
      </c>
      <c r="C59" s="466"/>
      <c r="D59" s="471">
        <f t="shared" si="4"/>
        <v>5600000</v>
      </c>
      <c r="E59" s="471">
        <f t="shared" si="5"/>
        <v>3859202</v>
      </c>
      <c r="F59" s="471">
        <f t="shared" si="6"/>
        <v>1740798</v>
      </c>
      <c r="G59" s="471">
        <f t="shared" si="7"/>
        <v>49199768</v>
      </c>
      <c r="H59" s="449"/>
      <c r="I59" s="471">
        <f t="shared" si="8"/>
        <v>1399999.9999999998</v>
      </c>
      <c r="J59" s="471">
        <f t="shared" si="9"/>
        <v>964799</v>
      </c>
      <c r="K59" s="471">
        <f t="shared" si="10"/>
        <v>435200.99999999977</v>
      </c>
      <c r="L59" s="471">
        <f t="shared" si="11"/>
        <v>12299925</v>
      </c>
      <c r="M59" s="473"/>
      <c r="N59" s="470">
        <v>2056</v>
      </c>
      <c r="O59" s="474">
        <f t="shared" si="12"/>
        <v>1439999.9923420302</v>
      </c>
      <c r="P59" s="473"/>
      <c r="Q59" s="470">
        <v>2056</v>
      </c>
      <c r="R59" s="471">
        <f t="shared" si="3"/>
        <v>1200000</v>
      </c>
    </row>
    <row r="60" spans="1:18" s="475" customFormat="1" x14ac:dyDescent="0.25">
      <c r="A60" s="429">
        <v>36</v>
      </c>
      <c r="B60" s="472">
        <v>57345</v>
      </c>
      <c r="C60" s="466"/>
      <c r="D60" s="471">
        <f t="shared" si="4"/>
        <v>5600000</v>
      </c>
      <c r="E60" s="471">
        <f t="shared" si="5"/>
        <v>3727321</v>
      </c>
      <c r="F60" s="471">
        <f t="shared" si="6"/>
        <v>1872679</v>
      </c>
      <c r="G60" s="471">
        <f t="shared" si="7"/>
        <v>47327089</v>
      </c>
      <c r="H60" s="449"/>
      <c r="I60" s="471">
        <f t="shared" si="8"/>
        <v>1399999.9999999998</v>
      </c>
      <c r="J60" s="471">
        <f t="shared" si="9"/>
        <v>931829</v>
      </c>
      <c r="K60" s="471">
        <f t="shared" si="10"/>
        <v>468170.99999999977</v>
      </c>
      <c r="L60" s="471">
        <f t="shared" si="11"/>
        <v>11831754</v>
      </c>
      <c r="M60" s="473"/>
      <c r="N60" s="470">
        <v>2057</v>
      </c>
      <c r="O60" s="474">
        <f t="shared" si="12"/>
        <v>1439999.9923420302</v>
      </c>
      <c r="P60" s="473"/>
      <c r="Q60" s="470">
        <v>2057</v>
      </c>
      <c r="R60" s="471">
        <f t="shared" si="3"/>
        <v>1200000</v>
      </c>
    </row>
    <row r="61" spans="1:18" s="475" customFormat="1" x14ac:dyDescent="0.25">
      <c r="A61" s="429">
        <v>37</v>
      </c>
      <c r="B61" s="472">
        <v>57710</v>
      </c>
      <c r="C61" s="466"/>
      <c r="D61" s="471">
        <f t="shared" si="4"/>
        <v>5600000</v>
      </c>
      <c r="E61" s="471">
        <f t="shared" si="5"/>
        <v>3585449</v>
      </c>
      <c r="F61" s="471">
        <f t="shared" si="6"/>
        <v>2014551</v>
      </c>
      <c r="G61" s="471">
        <f t="shared" si="7"/>
        <v>45312538</v>
      </c>
      <c r="H61" s="449"/>
      <c r="I61" s="471">
        <f t="shared" si="8"/>
        <v>1399999.9999999998</v>
      </c>
      <c r="J61" s="471">
        <f t="shared" si="9"/>
        <v>896361</v>
      </c>
      <c r="K61" s="471">
        <f t="shared" si="10"/>
        <v>503638.99999999977</v>
      </c>
      <c r="L61" s="471">
        <f t="shared" si="11"/>
        <v>11328115</v>
      </c>
      <c r="M61" s="473"/>
      <c r="N61" s="470">
        <v>2058</v>
      </c>
      <c r="O61" s="474">
        <f t="shared" si="12"/>
        <v>1439999.9923420302</v>
      </c>
      <c r="P61" s="473"/>
      <c r="Q61" s="470">
        <v>2058</v>
      </c>
      <c r="R61" s="471">
        <f t="shared" si="3"/>
        <v>1200000</v>
      </c>
    </row>
    <row r="62" spans="1:18" s="475" customFormat="1" x14ac:dyDescent="0.25">
      <c r="A62" s="429">
        <v>38</v>
      </c>
      <c r="B62" s="472">
        <v>58075</v>
      </c>
      <c r="C62" s="466"/>
      <c r="D62" s="471">
        <f t="shared" si="4"/>
        <v>5600000</v>
      </c>
      <c r="E62" s="471">
        <f t="shared" si="5"/>
        <v>3432828</v>
      </c>
      <c r="F62" s="471">
        <f t="shared" si="6"/>
        <v>2167172</v>
      </c>
      <c r="G62" s="471">
        <f t="shared" si="7"/>
        <v>43145366</v>
      </c>
      <c r="H62" s="449"/>
      <c r="I62" s="471">
        <f t="shared" si="8"/>
        <v>1399999.9999999998</v>
      </c>
      <c r="J62" s="471">
        <f t="shared" si="9"/>
        <v>858206</v>
      </c>
      <c r="K62" s="471">
        <f t="shared" si="10"/>
        <v>541793.99999999977</v>
      </c>
      <c r="L62" s="471">
        <f t="shared" si="11"/>
        <v>10786321</v>
      </c>
      <c r="M62" s="473"/>
      <c r="N62" s="470">
        <v>2059</v>
      </c>
      <c r="O62" s="474">
        <f t="shared" si="12"/>
        <v>1439999.9923420302</v>
      </c>
      <c r="P62" s="473"/>
      <c r="Q62" s="470">
        <v>2059</v>
      </c>
      <c r="R62" s="471">
        <f t="shared" si="3"/>
        <v>1200000</v>
      </c>
    </row>
    <row r="63" spans="1:18" s="475" customFormat="1" x14ac:dyDescent="0.25">
      <c r="A63" s="429">
        <v>39</v>
      </c>
      <c r="B63" s="472">
        <v>58440</v>
      </c>
      <c r="C63" s="466"/>
      <c r="D63" s="471">
        <f t="shared" si="4"/>
        <v>5600000</v>
      </c>
      <c r="E63" s="471">
        <f t="shared" si="5"/>
        <v>3268646</v>
      </c>
      <c r="F63" s="471">
        <f t="shared" si="6"/>
        <v>2331354</v>
      </c>
      <c r="G63" s="471">
        <f t="shared" si="7"/>
        <v>40814012</v>
      </c>
      <c r="H63" s="449"/>
      <c r="I63" s="471">
        <f t="shared" si="8"/>
        <v>1399999.9999999998</v>
      </c>
      <c r="J63" s="471">
        <f t="shared" si="9"/>
        <v>817160</v>
      </c>
      <c r="K63" s="471">
        <f t="shared" si="10"/>
        <v>582839.99999999977</v>
      </c>
      <c r="L63" s="471">
        <f t="shared" si="11"/>
        <v>10203481</v>
      </c>
      <c r="M63" s="473"/>
      <c r="N63" s="470">
        <v>2060</v>
      </c>
      <c r="O63" s="474">
        <f t="shared" si="12"/>
        <v>1439999.9923420302</v>
      </c>
      <c r="P63" s="473"/>
      <c r="Q63" s="470">
        <v>2060</v>
      </c>
      <c r="R63" s="471">
        <f t="shared" si="3"/>
        <v>1200000</v>
      </c>
    </row>
    <row r="64" spans="1:18" s="475" customFormat="1" x14ac:dyDescent="0.25">
      <c r="A64" s="429">
        <v>40</v>
      </c>
      <c r="B64" s="472">
        <v>58806</v>
      </c>
      <c r="C64" s="466"/>
      <c r="D64" s="471">
        <f t="shared" si="4"/>
        <v>5600000</v>
      </c>
      <c r="E64" s="471">
        <f t="shared" si="5"/>
        <v>3092025</v>
      </c>
      <c r="F64" s="471">
        <f t="shared" si="6"/>
        <v>2507975</v>
      </c>
      <c r="G64" s="471">
        <f t="shared" si="7"/>
        <v>38306037</v>
      </c>
      <c r="H64" s="449"/>
      <c r="I64" s="471">
        <f t="shared" si="8"/>
        <v>1399999.9999999998</v>
      </c>
      <c r="J64" s="471">
        <f t="shared" si="9"/>
        <v>773005</v>
      </c>
      <c r="K64" s="471">
        <f t="shared" si="10"/>
        <v>626994.99999999977</v>
      </c>
      <c r="L64" s="471">
        <f t="shared" si="11"/>
        <v>9576486</v>
      </c>
      <c r="M64" s="473"/>
      <c r="N64" s="470">
        <v>2061</v>
      </c>
      <c r="O64" s="474">
        <f t="shared" si="12"/>
        <v>1439999.9923420302</v>
      </c>
      <c r="P64" s="473"/>
      <c r="Q64" s="470">
        <v>2061</v>
      </c>
      <c r="R64" s="471">
        <f t="shared" si="3"/>
        <v>1200000</v>
      </c>
    </row>
    <row r="65" spans="1:18" s="475" customFormat="1" x14ac:dyDescent="0.25">
      <c r="A65" s="429">
        <v>41</v>
      </c>
      <c r="B65" s="472">
        <v>59171</v>
      </c>
      <c r="C65" s="466"/>
      <c r="D65" s="471">
        <f t="shared" si="4"/>
        <v>5600000</v>
      </c>
      <c r="E65" s="471">
        <f t="shared" si="5"/>
        <v>2902024</v>
      </c>
      <c r="F65" s="471">
        <f t="shared" si="6"/>
        <v>2697976</v>
      </c>
      <c r="G65" s="471">
        <f t="shared" si="7"/>
        <v>35608061</v>
      </c>
      <c r="H65" s="473"/>
      <c r="I65" s="471">
        <f t="shared" si="8"/>
        <v>1399999.9999999998</v>
      </c>
      <c r="J65" s="471">
        <f t="shared" si="9"/>
        <v>725504</v>
      </c>
      <c r="K65" s="471">
        <f t="shared" si="10"/>
        <v>674495.99999999977</v>
      </c>
      <c r="L65" s="471">
        <f t="shared" si="11"/>
        <v>8901990</v>
      </c>
      <c r="M65" s="473"/>
      <c r="N65" s="470">
        <v>2062</v>
      </c>
      <c r="O65" s="474">
        <f t="shared" si="12"/>
        <v>1439999.9923420302</v>
      </c>
      <c r="P65" s="473"/>
      <c r="Q65" s="470">
        <v>2062</v>
      </c>
      <c r="R65" s="471">
        <f t="shared" si="3"/>
        <v>1200000</v>
      </c>
    </row>
    <row r="66" spans="1:18" s="475" customFormat="1" x14ac:dyDescent="0.25">
      <c r="A66" s="429">
        <v>42</v>
      </c>
      <c r="B66" s="472">
        <v>59536</v>
      </c>
      <c r="C66" s="466"/>
      <c r="D66" s="471">
        <f t="shared" si="4"/>
        <v>5600000</v>
      </c>
      <c r="E66" s="471">
        <f t="shared" si="5"/>
        <v>2697628</v>
      </c>
      <c r="F66" s="471">
        <f t="shared" si="6"/>
        <v>2902372</v>
      </c>
      <c r="G66" s="471">
        <f t="shared" si="7"/>
        <v>32705689</v>
      </c>
      <c r="H66" s="473"/>
      <c r="I66" s="471">
        <f t="shared" si="8"/>
        <v>1399999.9999999998</v>
      </c>
      <c r="J66" s="471">
        <f t="shared" si="9"/>
        <v>674405</v>
      </c>
      <c r="K66" s="471">
        <f t="shared" si="10"/>
        <v>725594.99999999977</v>
      </c>
      <c r="L66" s="471">
        <f t="shared" si="11"/>
        <v>8176395</v>
      </c>
      <c r="M66" s="473"/>
      <c r="N66" s="470">
        <v>2063</v>
      </c>
      <c r="O66" s="474">
        <f t="shared" si="12"/>
        <v>1439999.9923420302</v>
      </c>
      <c r="P66" s="473"/>
      <c r="Q66" s="470">
        <v>2063</v>
      </c>
      <c r="R66" s="471">
        <f t="shared" si="3"/>
        <v>1200000</v>
      </c>
    </row>
    <row r="67" spans="1:18" s="475" customFormat="1" x14ac:dyDescent="0.25">
      <c r="A67" s="429">
        <v>43</v>
      </c>
      <c r="B67" s="472">
        <v>59901</v>
      </c>
      <c r="C67" s="466"/>
      <c r="D67" s="471">
        <f t="shared" si="4"/>
        <v>5600000</v>
      </c>
      <c r="E67" s="471">
        <f t="shared" si="5"/>
        <v>2477747</v>
      </c>
      <c r="F67" s="471">
        <f t="shared" si="6"/>
        <v>3122253</v>
      </c>
      <c r="G67" s="471">
        <f t="shared" si="7"/>
        <v>29583436</v>
      </c>
      <c r="H67" s="473"/>
      <c r="I67" s="471">
        <f t="shared" si="8"/>
        <v>1399999.9999999998</v>
      </c>
      <c r="J67" s="471">
        <f t="shared" si="9"/>
        <v>619435</v>
      </c>
      <c r="K67" s="471">
        <f t="shared" si="10"/>
        <v>780564.99999999977</v>
      </c>
      <c r="L67" s="471">
        <f t="shared" si="11"/>
        <v>7395830</v>
      </c>
      <c r="M67" s="473"/>
      <c r="N67" s="470">
        <v>2064</v>
      </c>
      <c r="O67" s="474">
        <f t="shared" si="12"/>
        <v>1439999.9923420302</v>
      </c>
      <c r="P67" s="473"/>
      <c r="Q67" s="470">
        <v>2064</v>
      </c>
      <c r="R67" s="471">
        <f t="shared" si="3"/>
        <v>1200000</v>
      </c>
    </row>
    <row r="68" spans="1:18" s="475" customFormat="1" x14ac:dyDescent="0.25">
      <c r="A68" s="429">
        <v>44</v>
      </c>
      <c r="B68" s="472">
        <v>60267</v>
      </c>
      <c r="C68" s="466"/>
      <c r="D68" s="471">
        <f t="shared" si="4"/>
        <v>5600000</v>
      </c>
      <c r="E68" s="471">
        <f t="shared" si="5"/>
        <v>2241209</v>
      </c>
      <c r="F68" s="471">
        <f t="shared" si="6"/>
        <v>3358791</v>
      </c>
      <c r="G68" s="471">
        <f t="shared" si="7"/>
        <v>26224645</v>
      </c>
      <c r="H68" s="473"/>
      <c r="I68" s="471">
        <f t="shared" si="8"/>
        <v>1399999.9999999998</v>
      </c>
      <c r="J68" s="471">
        <f t="shared" si="9"/>
        <v>560300</v>
      </c>
      <c r="K68" s="471">
        <f t="shared" si="10"/>
        <v>839699.99999999977</v>
      </c>
      <c r="L68" s="471">
        <f t="shared" si="11"/>
        <v>6556130</v>
      </c>
      <c r="M68" s="473"/>
      <c r="N68" s="470">
        <v>2065</v>
      </c>
      <c r="O68" s="474">
        <f t="shared" si="12"/>
        <v>1439999.9923420302</v>
      </c>
      <c r="P68" s="473"/>
      <c r="Q68" s="470">
        <v>2065</v>
      </c>
      <c r="R68" s="471">
        <f t="shared" si="3"/>
        <v>1200000</v>
      </c>
    </row>
    <row r="69" spans="1:18" s="475" customFormat="1" x14ac:dyDescent="0.25">
      <c r="A69" s="429">
        <v>45</v>
      </c>
      <c r="B69" s="472">
        <v>60632</v>
      </c>
      <c r="C69" s="466"/>
      <c r="D69" s="471">
        <f t="shared" si="4"/>
        <v>5600000</v>
      </c>
      <c r="E69" s="471">
        <f t="shared" si="5"/>
        <v>1986751</v>
      </c>
      <c r="F69" s="471">
        <f t="shared" si="6"/>
        <v>3613249</v>
      </c>
      <c r="G69" s="471">
        <f t="shared" si="7"/>
        <v>22611396</v>
      </c>
      <c r="H69" s="473"/>
      <c r="I69" s="471">
        <f t="shared" si="8"/>
        <v>1399999.9999999998</v>
      </c>
      <c r="J69" s="471">
        <f t="shared" si="9"/>
        <v>496685</v>
      </c>
      <c r="K69" s="471">
        <f t="shared" si="10"/>
        <v>903314.99999999977</v>
      </c>
      <c r="L69" s="471">
        <f t="shared" si="11"/>
        <v>5652815</v>
      </c>
      <c r="M69" s="473"/>
      <c r="N69" s="470">
        <v>2066</v>
      </c>
      <c r="O69" s="474">
        <f t="shared" si="12"/>
        <v>1439999.9923420302</v>
      </c>
      <c r="P69" s="473"/>
      <c r="Q69" s="470">
        <v>2066</v>
      </c>
      <c r="R69" s="471">
        <f t="shared" si="3"/>
        <v>1200000</v>
      </c>
    </row>
    <row r="70" spans="1:18" s="475" customFormat="1" x14ac:dyDescent="0.25">
      <c r="A70" s="429">
        <v>46</v>
      </c>
      <c r="B70" s="472">
        <v>60997</v>
      </c>
      <c r="C70" s="466"/>
      <c r="D70" s="471">
        <f t="shared" si="4"/>
        <v>5600000</v>
      </c>
      <c r="E70" s="471">
        <f t="shared" si="5"/>
        <v>1713015</v>
      </c>
      <c r="F70" s="471">
        <f t="shared" si="6"/>
        <v>3886985</v>
      </c>
      <c r="G70" s="471">
        <f t="shared" si="7"/>
        <v>18724411</v>
      </c>
      <c r="H70" s="473"/>
      <c r="I70" s="471">
        <f t="shared" si="8"/>
        <v>1399999.9999999998</v>
      </c>
      <c r="J70" s="471">
        <f t="shared" si="9"/>
        <v>428251</v>
      </c>
      <c r="K70" s="471">
        <f t="shared" si="10"/>
        <v>971748.99999999977</v>
      </c>
      <c r="L70" s="471">
        <f t="shared" si="11"/>
        <v>4681066</v>
      </c>
      <c r="M70" s="473"/>
      <c r="N70" s="470">
        <v>2067</v>
      </c>
      <c r="O70" s="474">
        <f t="shared" si="12"/>
        <v>1439999.9923420302</v>
      </c>
      <c r="P70" s="473"/>
      <c r="Q70" s="470">
        <v>2067</v>
      </c>
      <c r="R70" s="471">
        <f t="shared" si="3"/>
        <v>1200000</v>
      </c>
    </row>
    <row r="71" spans="1:18" s="475" customFormat="1" x14ac:dyDescent="0.25">
      <c r="A71" s="429">
        <v>47</v>
      </c>
      <c r="B71" s="472">
        <v>61362</v>
      </c>
      <c r="C71" s="466"/>
      <c r="D71" s="471">
        <f t="shared" si="4"/>
        <v>5600000</v>
      </c>
      <c r="E71" s="471">
        <f t="shared" si="5"/>
        <v>1418541</v>
      </c>
      <c r="F71" s="471">
        <f t="shared" si="6"/>
        <v>4181459</v>
      </c>
      <c r="G71" s="471">
        <f t="shared" si="7"/>
        <v>14542952</v>
      </c>
      <c r="H71" s="473"/>
      <c r="I71" s="471">
        <f t="shared" si="8"/>
        <v>1399999.9999999998</v>
      </c>
      <c r="J71" s="471">
        <f t="shared" si="9"/>
        <v>354632</v>
      </c>
      <c r="K71" s="471">
        <f t="shared" si="10"/>
        <v>1045367.9999999998</v>
      </c>
      <c r="L71" s="471">
        <f t="shared" si="11"/>
        <v>3635698</v>
      </c>
      <c r="M71" s="473"/>
      <c r="N71" s="470">
        <v>2068</v>
      </c>
      <c r="O71" s="474">
        <f t="shared" si="12"/>
        <v>1439999.9923420302</v>
      </c>
      <c r="P71" s="473"/>
      <c r="Q71" s="470">
        <v>2068</v>
      </c>
      <c r="R71" s="471">
        <f t="shared" si="3"/>
        <v>1200000</v>
      </c>
    </row>
    <row r="72" spans="1:18" s="475" customFormat="1" x14ac:dyDescent="0.25">
      <c r="A72" s="429">
        <v>48</v>
      </c>
      <c r="B72" s="472">
        <v>61728</v>
      </c>
      <c r="C72" s="466"/>
      <c r="D72" s="471">
        <f t="shared" si="4"/>
        <v>5600000</v>
      </c>
      <c r="E72" s="471">
        <f t="shared" si="5"/>
        <v>1101758</v>
      </c>
      <c r="F72" s="471">
        <f t="shared" si="6"/>
        <v>4498242</v>
      </c>
      <c r="G72" s="471">
        <f t="shared" si="7"/>
        <v>10044710</v>
      </c>
      <c r="H72" s="473"/>
      <c r="I72" s="471">
        <f t="shared" si="8"/>
        <v>1399999.9999999998</v>
      </c>
      <c r="J72" s="471">
        <f t="shared" si="9"/>
        <v>275437</v>
      </c>
      <c r="K72" s="471">
        <f t="shared" si="10"/>
        <v>1124562.9999999998</v>
      </c>
      <c r="L72" s="471">
        <f t="shared" si="11"/>
        <v>2511135</v>
      </c>
      <c r="M72" s="473"/>
      <c r="N72" s="470">
        <v>2069</v>
      </c>
      <c r="O72" s="474">
        <f t="shared" si="12"/>
        <v>1439999.9923420302</v>
      </c>
      <c r="P72" s="473"/>
      <c r="Q72" s="470">
        <v>2069</v>
      </c>
      <c r="R72" s="471">
        <f t="shared" si="3"/>
        <v>1200000</v>
      </c>
    </row>
    <row r="73" spans="1:18" s="475" customFormat="1" x14ac:dyDescent="0.25">
      <c r="A73" s="429">
        <v>49</v>
      </c>
      <c r="B73" s="472">
        <v>62093</v>
      </c>
      <c r="C73" s="466"/>
      <c r="D73" s="471">
        <f t="shared" si="4"/>
        <v>5600000</v>
      </c>
      <c r="E73" s="471">
        <f t="shared" si="5"/>
        <v>760976</v>
      </c>
      <c r="F73" s="471">
        <f t="shared" si="6"/>
        <v>4839024</v>
      </c>
      <c r="G73" s="471">
        <f t="shared" si="7"/>
        <v>5205686</v>
      </c>
      <c r="H73" s="473"/>
      <c r="I73" s="471">
        <f t="shared" si="8"/>
        <v>1399999.9999999998</v>
      </c>
      <c r="J73" s="471">
        <f t="shared" si="9"/>
        <v>190241</v>
      </c>
      <c r="K73" s="471">
        <f t="shared" si="10"/>
        <v>1209758.9999999998</v>
      </c>
      <c r="L73" s="471">
        <f t="shared" si="11"/>
        <v>1301376.0000000002</v>
      </c>
      <c r="M73" s="473"/>
      <c r="N73" s="470">
        <v>2070</v>
      </c>
      <c r="O73" s="474">
        <f t="shared" si="12"/>
        <v>1439999.9923420302</v>
      </c>
      <c r="P73" s="473"/>
      <c r="Q73" s="470">
        <v>2070</v>
      </c>
      <c r="R73" s="471">
        <f t="shared" si="3"/>
        <v>1200000</v>
      </c>
    </row>
    <row r="74" spans="1:18" s="475" customFormat="1" x14ac:dyDescent="0.25">
      <c r="A74" s="429">
        <v>50</v>
      </c>
      <c r="B74" s="476">
        <v>62458</v>
      </c>
      <c r="C74" s="466"/>
      <c r="D74" s="477">
        <f>+D73+63</f>
        <v>5600063</v>
      </c>
      <c r="E74" s="477">
        <f t="shared" si="5"/>
        <v>394377</v>
      </c>
      <c r="F74" s="477">
        <f t="shared" si="6"/>
        <v>5205686</v>
      </c>
      <c r="G74" s="478">
        <f t="shared" si="7"/>
        <v>0</v>
      </c>
      <c r="H74" s="473"/>
      <c r="I74" s="477">
        <f>+I73-33</f>
        <v>1399966.9999999998</v>
      </c>
      <c r="J74" s="477">
        <f t="shared" si="9"/>
        <v>98591</v>
      </c>
      <c r="K74" s="477">
        <f t="shared" si="10"/>
        <v>1301375.9999999998</v>
      </c>
      <c r="L74" s="477">
        <f t="shared" si="11"/>
        <v>0</v>
      </c>
      <c r="M74" s="473"/>
      <c r="N74" s="480">
        <v>2071</v>
      </c>
      <c r="O74" s="481">
        <f>ROUND(+$O$22/$O$23/2,0)</f>
        <v>720000</v>
      </c>
      <c r="P74" s="473"/>
      <c r="Q74" s="480">
        <v>2071</v>
      </c>
      <c r="R74" s="477">
        <f>ROUND(+$R$22/$R$23,0)/2</f>
        <v>600000</v>
      </c>
    </row>
    <row r="75" spans="1:18" s="473" customFormat="1" ht="30" x14ac:dyDescent="0.25">
      <c r="A75" s="436"/>
      <c r="B75" s="454"/>
      <c r="C75" s="466"/>
      <c r="D75" s="666" t="s">
        <v>752</v>
      </c>
      <c r="E75" s="454"/>
      <c r="F75" s="454"/>
      <c r="G75" s="454"/>
      <c r="I75" s="666" t="s">
        <v>752</v>
      </c>
      <c r="J75" s="479"/>
      <c r="K75" s="479"/>
      <c r="L75" s="449"/>
    </row>
    <row r="76" spans="1:18" x14ac:dyDescent="0.25">
      <c r="B76" s="436"/>
      <c r="C76" s="436"/>
      <c r="D76" s="436"/>
      <c r="E76" s="436"/>
      <c r="F76" s="436"/>
      <c r="G76" s="454"/>
      <c r="H76" s="436"/>
      <c r="I76" s="436"/>
      <c r="J76" s="436"/>
      <c r="K76" s="436"/>
      <c r="L76" s="436"/>
      <c r="M76" s="436"/>
      <c r="N76" s="436"/>
      <c r="O76" s="436"/>
      <c r="P76" s="436"/>
      <c r="Q76" s="436"/>
      <c r="R76" s="436"/>
    </row>
    <row r="77" spans="1:18" x14ac:dyDescent="0.25">
      <c r="B77" s="436"/>
      <c r="C77" s="436"/>
      <c r="D77" s="436"/>
      <c r="E77" s="436"/>
      <c r="F77" s="436"/>
      <c r="G77" s="454"/>
      <c r="H77" s="436"/>
      <c r="I77" s="436"/>
      <c r="J77" s="436"/>
      <c r="K77" s="436"/>
      <c r="L77" s="436"/>
      <c r="M77" s="436"/>
      <c r="N77" s="436"/>
      <c r="O77" s="436"/>
      <c r="P77" s="436"/>
    </row>
    <row r="78" spans="1:18" x14ac:dyDescent="0.25">
      <c r="B78" s="436"/>
      <c r="C78" s="436"/>
      <c r="D78" s="436"/>
      <c r="E78" s="436"/>
      <c r="F78" s="436"/>
      <c r="G78" s="454"/>
      <c r="H78" s="436"/>
      <c r="I78" s="436"/>
      <c r="J78" s="436"/>
      <c r="K78" s="436"/>
      <c r="L78" s="436"/>
      <c r="M78" s="436"/>
      <c r="N78" s="436"/>
      <c r="O78" s="436"/>
      <c r="P78" s="436"/>
    </row>
    <row r="79" spans="1:18" x14ac:dyDescent="0.25">
      <c r="B79" s="436"/>
      <c r="C79" s="436"/>
      <c r="D79" s="436"/>
      <c r="E79" s="436"/>
      <c r="F79" s="436"/>
      <c r="G79" s="454"/>
      <c r="H79" s="436"/>
      <c r="I79" s="436"/>
      <c r="J79" s="436"/>
      <c r="K79" s="436"/>
      <c r="L79" s="436"/>
      <c r="M79" s="436"/>
      <c r="N79" s="436"/>
      <c r="O79" s="436"/>
      <c r="P79" s="436"/>
    </row>
    <row r="80" spans="1:18" x14ac:dyDescent="0.25">
      <c r="B80" s="436"/>
      <c r="C80" s="436"/>
      <c r="D80" s="436"/>
      <c r="E80" s="436"/>
      <c r="F80" s="436"/>
      <c r="G80" s="454"/>
      <c r="H80" s="436"/>
      <c r="I80" s="436"/>
      <c r="J80" s="436"/>
      <c r="K80" s="436"/>
      <c r="L80" s="436"/>
      <c r="M80" s="436"/>
      <c r="N80" s="436"/>
      <c r="O80" s="436"/>
      <c r="P80" s="436"/>
    </row>
    <row r="81" spans="2:16" x14ac:dyDescent="0.25">
      <c r="B81" s="436"/>
      <c r="C81" s="436"/>
      <c r="D81" s="436"/>
      <c r="E81" s="436"/>
      <c r="F81" s="436"/>
      <c r="G81" s="454"/>
      <c r="H81" s="436"/>
      <c r="I81" s="436"/>
      <c r="J81" s="436"/>
      <c r="K81" s="436"/>
      <c r="L81" s="436"/>
      <c r="M81" s="436"/>
      <c r="N81" s="436"/>
      <c r="O81" s="436"/>
      <c r="P81" s="436"/>
    </row>
    <row r="82" spans="2:16" x14ac:dyDescent="0.25">
      <c r="B82" s="436"/>
      <c r="C82" s="436"/>
      <c r="D82" s="436"/>
      <c r="E82" s="436"/>
      <c r="F82" s="436"/>
      <c r="G82" s="454"/>
      <c r="H82" s="436"/>
      <c r="I82" s="436"/>
      <c r="J82" s="436"/>
      <c r="K82" s="436"/>
      <c r="L82" s="436"/>
      <c r="M82" s="436"/>
      <c r="N82" s="436"/>
      <c r="O82" s="436"/>
      <c r="P82" s="436"/>
    </row>
    <row r="83" spans="2:16" x14ac:dyDescent="0.25">
      <c r="B83" s="436"/>
      <c r="C83" s="436"/>
      <c r="D83" s="436"/>
      <c r="E83" s="436"/>
      <c r="F83" s="436"/>
      <c r="G83" s="454"/>
      <c r="H83" s="436"/>
      <c r="I83" s="436"/>
      <c r="J83" s="436"/>
      <c r="K83" s="436"/>
      <c r="L83" s="436"/>
      <c r="M83" s="436"/>
      <c r="N83" s="436"/>
      <c r="O83" s="436"/>
      <c r="P83" s="436"/>
    </row>
    <row r="84" spans="2:16" x14ac:dyDescent="0.25">
      <c r="B84" s="436"/>
      <c r="C84" s="436"/>
      <c r="D84" s="436"/>
      <c r="E84" s="436"/>
      <c r="F84" s="436"/>
      <c r="G84" s="454"/>
      <c r="H84" s="436"/>
      <c r="I84" s="436"/>
      <c r="J84" s="436"/>
      <c r="K84" s="436"/>
      <c r="L84" s="436"/>
      <c r="M84" s="436"/>
      <c r="N84" s="436"/>
      <c r="O84" s="436"/>
      <c r="P84" s="436"/>
    </row>
    <row r="85" spans="2:16" x14ac:dyDescent="0.25">
      <c r="B85" s="436"/>
      <c r="C85" s="436"/>
      <c r="D85" s="436"/>
      <c r="E85" s="436"/>
      <c r="F85" s="436"/>
      <c r="G85" s="454"/>
      <c r="H85" s="436"/>
      <c r="I85" s="436"/>
      <c r="J85" s="436"/>
      <c r="K85" s="436"/>
      <c r="L85" s="436"/>
      <c r="M85" s="436"/>
      <c r="N85" s="436"/>
      <c r="O85" s="436"/>
      <c r="P85" s="436"/>
    </row>
    <row r="86" spans="2:16" x14ac:dyDescent="0.25">
      <c r="B86" s="436"/>
      <c r="C86" s="436"/>
      <c r="D86" s="436"/>
      <c r="E86" s="436"/>
      <c r="F86" s="436"/>
      <c r="G86" s="454"/>
      <c r="H86" s="436"/>
      <c r="I86" s="436"/>
      <c r="J86" s="436"/>
      <c r="K86" s="436"/>
      <c r="L86" s="436"/>
      <c r="M86" s="436"/>
      <c r="N86" s="436"/>
      <c r="O86" s="436"/>
      <c r="P86" s="436"/>
    </row>
    <row r="87" spans="2:16" x14ac:dyDescent="0.25">
      <c r="B87" s="436"/>
      <c r="C87" s="436"/>
      <c r="D87" s="436"/>
      <c r="E87" s="436"/>
      <c r="F87" s="436"/>
      <c r="G87" s="454"/>
      <c r="H87" s="436"/>
      <c r="I87" s="436"/>
      <c r="J87" s="436"/>
      <c r="K87" s="436"/>
      <c r="L87" s="436"/>
      <c r="M87" s="436"/>
      <c r="N87" s="436"/>
      <c r="O87" s="436"/>
      <c r="P87" s="436"/>
    </row>
    <row r="88" spans="2:16" x14ac:dyDescent="0.25">
      <c r="B88" s="436"/>
      <c r="C88" s="436"/>
      <c r="D88" s="436"/>
      <c r="E88" s="436"/>
      <c r="F88" s="436"/>
      <c r="G88" s="454"/>
      <c r="H88" s="436"/>
      <c r="I88" s="436"/>
      <c r="J88" s="436"/>
      <c r="K88" s="436"/>
      <c r="L88" s="436"/>
      <c r="M88" s="436"/>
      <c r="N88" s="436"/>
      <c r="O88" s="436"/>
      <c r="P88" s="436"/>
    </row>
    <row r="89" spans="2:16" x14ac:dyDescent="0.25">
      <c r="B89" s="436"/>
      <c r="C89" s="436"/>
      <c r="D89" s="436"/>
      <c r="E89" s="436"/>
      <c r="F89" s="436"/>
      <c r="G89" s="454"/>
      <c r="H89" s="436"/>
      <c r="I89" s="436"/>
      <c r="J89" s="436"/>
      <c r="K89" s="436"/>
      <c r="L89" s="436"/>
      <c r="M89" s="436"/>
      <c r="N89" s="436"/>
      <c r="O89" s="436"/>
      <c r="P89" s="436"/>
    </row>
    <row r="90" spans="2:16" x14ac:dyDescent="0.25">
      <c r="B90" s="436"/>
      <c r="C90" s="436"/>
      <c r="D90" s="436"/>
      <c r="E90" s="436"/>
      <c r="F90" s="436"/>
      <c r="G90" s="454"/>
      <c r="H90" s="436"/>
      <c r="I90" s="436"/>
      <c r="J90" s="436"/>
      <c r="K90" s="436"/>
      <c r="L90" s="436"/>
      <c r="M90" s="436"/>
      <c r="N90" s="436"/>
      <c r="O90" s="436"/>
      <c r="P90" s="436"/>
    </row>
    <row r="91" spans="2:16" x14ac:dyDescent="0.25">
      <c r="B91" s="436"/>
      <c r="C91" s="436"/>
      <c r="D91" s="436"/>
      <c r="E91" s="436"/>
      <c r="F91" s="436"/>
      <c r="G91" s="454"/>
      <c r="H91" s="436"/>
      <c r="I91" s="436"/>
      <c r="J91" s="436"/>
      <c r="K91" s="436"/>
      <c r="L91" s="436"/>
      <c r="M91" s="436"/>
      <c r="N91" s="436"/>
      <c r="O91" s="436"/>
      <c r="P91" s="436"/>
    </row>
    <row r="92" spans="2:16" x14ac:dyDescent="0.25">
      <c r="B92" s="436"/>
      <c r="C92" s="436"/>
      <c r="D92" s="436"/>
      <c r="E92" s="436"/>
      <c r="F92" s="436"/>
      <c r="G92" s="454"/>
      <c r="H92" s="436"/>
      <c r="I92" s="436"/>
      <c r="J92" s="436"/>
      <c r="K92" s="436"/>
      <c r="L92" s="436"/>
      <c r="M92" s="436"/>
      <c r="N92" s="436"/>
      <c r="O92" s="436"/>
      <c r="P92" s="436"/>
    </row>
    <row r="93" spans="2:16" x14ac:dyDescent="0.25">
      <c r="B93" s="436"/>
      <c r="C93" s="436"/>
      <c r="D93" s="436"/>
      <c r="E93" s="436"/>
      <c r="F93" s="436"/>
      <c r="G93" s="454"/>
      <c r="H93" s="436"/>
      <c r="I93" s="436"/>
      <c r="J93" s="436"/>
      <c r="K93" s="436"/>
      <c r="L93" s="436"/>
      <c r="M93" s="436"/>
      <c r="N93" s="436"/>
      <c r="O93" s="436"/>
      <c r="P93" s="436"/>
    </row>
    <row r="94" spans="2:16" x14ac:dyDescent="0.25">
      <c r="B94" s="436"/>
      <c r="C94" s="436"/>
      <c r="D94" s="436"/>
      <c r="E94" s="436"/>
      <c r="F94" s="436"/>
      <c r="G94" s="454"/>
      <c r="H94" s="436"/>
      <c r="I94" s="436"/>
      <c r="J94" s="436"/>
      <c r="K94" s="436"/>
      <c r="L94" s="436"/>
      <c r="M94" s="436"/>
      <c r="N94" s="436"/>
      <c r="O94" s="436"/>
      <c r="P94" s="436"/>
    </row>
    <row r="95" spans="2:16" x14ac:dyDescent="0.25">
      <c r="B95" s="436"/>
      <c r="C95" s="436"/>
      <c r="D95" s="436"/>
      <c r="E95" s="436"/>
      <c r="F95" s="436"/>
      <c r="G95" s="454"/>
      <c r="H95" s="436"/>
      <c r="I95" s="436"/>
      <c r="J95" s="436"/>
      <c r="K95" s="436"/>
      <c r="L95" s="436"/>
      <c r="M95" s="436"/>
      <c r="N95" s="436"/>
      <c r="O95" s="436"/>
      <c r="P95" s="436"/>
    </row>
    <row r="96" spans="2:16" x14ac:dyDescent="0.25">
      <c r="B96" s="436"/>
      <c r="C96" s="436"/>
      <c r="D96" s="436"/>
      <c r="E96" s="436"/>
      <c r="F96" s="436"/>
      <c r="G96" s="454"/>
      <c r="H96" s="436"/>
      <c r="I96" s="436"/>
      <c r="J96" s="436"/>
      <c r="K96" s="436"/>
      <c r="L96" s="436"/>
      <c r="M96" s="436"/>
      <c r="N96" s="436"/>
      <c r="O96" s="436"/>
      <c r="P96" s="436"/>
    </row>
    <row r="97" spans="2:16" x14ac:dyDescent="0.25">
      <c r="B97" s="436"/>
      <c r="C97" s="436"/>
      <c r="D97" s="436"/>
      <c r="E97" s="436"/>
      <c r="F97" s="436"/>
      <c r="G97" s="454"/>
      <c r="H97" s="436"/>
      <c r="I97" s="436"/>
      <c r="J97" s="436"/>
      <c r="K97" s="436"/>
      <c r="L97" s="436"/>
      <c r="M97" s="436"/>
      <c r="N97" s="436"/>
      <c r="O97" s="436"/>
      <c r="P97" s="436"/>
    </row>
    <row r="98" spans="2:16" x14ac:dyDescent="0.25">
      <c r="B98" s="436"/>
      <c r="C98" s="436"/>
      <c r="D98" s="436"/>
      <c r="E98" s="436"/>
      <c r="F98" s="436"/>
      <c r="G98" s="454"/>
      <c r="H98" s="436"/>
      <c r="I98" s="436"/>
      <c r="J98" s="436"/>
      <c r="K98" s="436"/>
      <c r="L98" s="436"/>
      <c r="M98" s="436"/>
      <c r="N98" s="436"/>
      <c r="O98" s="436"/>
      <c r="P98" s="436"/>
    </row>
    <row r="99" spans="2:16" x14ac:dyDescent="0.25">
      <c r="B99" s="436"/>
      <c r="C99" s="436"/>
      <c r="D99" s="436"/>
      <c r="E99" s="436"/>
      <c r="F99" s="436"/>
      <c r="G99" s="454"/>
      <c r="H99" s="436"/>
      <c r="I99" s="436"/>
      <c r="J99" s="436"/>
      <c r="K99" s="436"/>
      <c r="L99" s="436"/>
      <c r="M99" s="436"/>
      <c r="N99" s="436"/>
      <c r="O99" s="436"/>
      <c r="P99" s="436"/>
    </row>
    <row r="100" spans="2:16" x14ac:dyDescent="0.25">
      <c r="B100" s="436"/>
      <c r="C100" s="436"/>
      <c r="D100" s="436"/>
      <c r="E100" s="436"/>
      <c r="F100" s="436"/>
      <c r="G100" s="454"/>
      <c r="H100" s="436"/>
      <c r="I100" s="436"/>
      <c r="J100" s="436"/>
      <c r="K100" s="436"/>
      <c r="L100" s="436"/>
      <c r="M100" s="436"/>
      <c r="N100" s="436"/>
      <c r="O100" s="436"/>
      <c r="P100" s="436"/>
    </row>
    <row r="101" spans="2:16" x14ac:dyDescent="0.25">
      <c r="B101" s="436"/>
      <c r="C101" s="436"/>
      <c r="D101" s="436"/>
      <c r="E101" s="436"/>
      <c r="F101" s="436"/>
      <c r="G101" s="454"/>
      <c r="H101" s="436"/>
      <c r="I101" s="436"/>
      <c r="J101" s="436"/>
      <c r="K101" s="436"/>
      <c r="L101" s="436"/>
      <c r="M101" s="436"/>
      <c r="N101" s="436"/>
      <c r="O101" s="436"/>
      <c r="P101" s="436"/>
    </row>
    <row r="102" spans="2:16" x14ac:dyDescent="0.25">
      <c r="B102" s="436"/>
      <c r="C102" s="436"/>
      <c r="D102" s="436"/>
      <c r="E102" s="436"/>
      <c r="F102" s="436"/>
      <c r="G102" s="454"/>
      <c r="H102" s="436"/>
      <c r="I102" s="436"/>
      <c r="J102" s="436"/>
      <c r="K102" s="436"/>
      <c r="L102" s="436"/>
      <c r="M102" s="436"/>
      <c r="N102" s="436"/>
      <c r="O102" s="436"/>
      <c r="P102" s="436"/>
    </row>
    <row r="103" spans="2:16" x14ac:dyDescent="0.25">
      <c r="B103" s="436"/>
      <c r="C103" s="436"/>
      <c r="D103" s="436"/>
      <c r="E103" s="436"/>
      <c r="F103" s="436"/>
      <c r="G103" s="454"/>
      <c r="H103" s="436"/>
      <c r="I103" s="436"/>
      <c r="J103" s="436"/>
      <c r="K103" s="436"/>
      <c r="L103" s="436"/>
      <c r="M103" s="436"/>
      <c r="N103" s="436"/>
      <c r="O103" s="436"/>
      <c r="P103" s="436"/>
    </row>
    <row r="104" spans="2:16" x14ac:dyDescent="0.25">
      <c r="B104" s="436"/>
      <c r="C104" s="436"/>
      <c r="D104" s="436"/>
      <c r="E104" s="436"/>
      <c r="F104" s="436"/>
      <c r="G104" s="454"/>
      <c r="H104" s="436"/>
      <c r="I104" s="436"/>
      <c r="J104" s="436"/>
      <c r="K104" s="436"/>
      <c r="L104" s="436"/>
      <c r="M104" s="436"/>
      <c r="N104" s="436"/>
      <c r="O104" s="436"/>
      <c r="P104" s="436"/>
    </row>
    <row r="105" spans="2:16" x14ac:dyDescent="0.25">
      <c r="B105" s="436"/>
      <c r="C105" s="436"/>
      <c r="D105" s="436"/>
      <c r="E105" s="436"/>
      <c r="F105" s="436"/>
      <c r="G105" s="454"/>
      <c r="H105" s="436"/>
      <c r="I105" s="436"/>
      <c r="J105" s="436"/>
      <c r="K105" s="436"/>
      <c r="L105" s="436"/>
      <c r="M105" s="436"/>
      <c r="N105" s="436"/>
      <c r="O105" s="436"/>
      <c r="P105" s="436"/>
    </row>
    <row r="106" spans="2:16" x14ac:dyDescent="0.25">
      <c r="B106" s="436"/>
      <c r="C106" s="436"/>
      <c r="D106" s="436"/>
      <c r="E106" s="436"/>
      <c r="F106" s="436"/>
      <c r="G106" s="454"/>
      <c r="H106" s="436"/>
      <c r="I106" s="436"/>
      <c r="J106" s="436"/>
      <c r="K106" s="436"/>
      <c r="L106" s="436"/>
      <c r="M106" s="436"/>
      <c r="N106" s="436"/>
      <c r="O106" s="436"/>
      <c r="P106" s="436"/>
    </row>
    <row r="107" spans="2:16" x14ac:dyDescent="0.25">
      <c r="B107" s="436"/>
      <c r="C107" s="436"/>
      <c r="D107" s="436"/>
      <c r="E107" s="436"/>
      <c r="F107" s="436"/>
      <c r="G107" s="454"/>
      <c r="H107" s="436"/>
      <c r="I107" s="436"/>
      <c r="J107" s="436"/>
      <c r="K107" s="436"/>
      <c r="L107" s="436"/>
      <c r="M107" s="436"/>
      <c r="N107" s="436"/>
      <c r="O107" s="436"/>
      <c r="P107" s="436"/>
    </row>
    <row r="108" spans="2:16" x14ac:dyDescent="0.25">
      <c r="B108" s="436"/>
      <c r="C108" s="436"/>
      <c r="D108" s="436"/>
      <c r="E108" s="436"/>
      <c r="F108" s="436"/>
      <c r="G108" s="454"/>
      <c r="H108" s="436"/>
      <c r="I108" s="436"/>
      <c r="J108" s="436"/>
      <c r="K108" s="436"/>
      <c r="L108" s="436"/>
      <c r="M108" s="436"/>
      <c r="N108" s="436"/>
      <c r="O108" s="436"/>
      <c r="P108" s="436"/>
    </row>
    <row r="109" spans="2:16" x14ac:dyDescent="0.25">
      <c r="B109" s="436"/>
      <c r="C109" s="436"/>
      <c r="D109" s="436"/>
      <c r="E109" s="436"/>
      <c r="F109" s="436"/>
      <c r="G109" s="454"/>
      <c r="H109" s="436"/>
      <c r="I109" s="436"/>
      <c r="J109" s="436"/>
      <c r="K109" s="436"/>
      <c r="L109" s="436"/>
      <c r="M109" s="436"/>
      <c r="N109" s="436"/>
      <c r="O109" s="436"/>
      <c r="P109" s="436"/>
    </row>
    <row r="110" spans="2:16" x14ac:dyDescent="0.25">
      <c r="B110" s="436"/>
      <c r="C110" s="436"/>
      <c r="D110" s="436"/>
      <c r="E110" s="436"/>
      <c r="F110" s="436"/>
      <c r="G110" s="454"/>
      <c r="H110" s="436"/>
      <c r="I110" s="436"/>
      <c r="J110" s="436"/>
      <c r="K110" s="436"/>
      <c r="L110" s="436"/>
      <c r="M110" s="436"/>
      <c r="N110" s="436"/>
      <c r="O110" s="436"/>
      <c r="P110" s="436"/>
    </row>
    <row r="111" spans="2:16" x14ac:dyDescent="0.25">
      <c r="B111" s="436"/>
      <c r="C111" s="436"/>
      <c r="D111" s="436"/>
      <c r="E111" s="436"/>
      <c r="F111" s="436"/>
      <c r="G111" s="454"/>
      <c r="H111" s="436"/>
      <c r="I111" s="436"/>
      <c r="J111" s="436"/>
      <c r="K111" s="436"/>
      <c r="L111" s="436"/>
      <c r="M111" s="436"/>
      <c r="N111" s="436"/>
      <c r="O111" s="436"/>
      <c r="P111" s="436"/>
    </row>
    <row r="112" spans="2:16" x14ac:dyDescent="0.25">
      <c r="B112" s="436"/>
      <c r="C112" s="436"/>
      <c r="D112" s="436"/>
      <c r="E112" s="436"/>
      <c r="F112" s="436"/>
      <c r="G112" s="454"/>
      <c r="H112" s="436"/>
      <c r="I112" s="436"/>
      <c r="J112" s="436"/>
      <c r="K112" s="436"/>
      <c r="L112" s="436"/>
      <c r="M112" s="436"/>
      <c r="N112" s="436"/>
      <c r="O112" s="436"/>
      <c r="P112" s="436"/>
    </row>
    <row r="113" spans="2:16" x14ac:dyDescent="0.25">
      <c r="B113" s="436"/>
      <c r="C113" s="436"/>
      <c r="D113" s="436"/>
      <c r="E113" s="436"/>
      <c r="F113" s="436"/>
      <c r="G113" s="454"/>
      <c r="H113" s="436"/>
      <c r="I113" s="436"/>
      <c r="J113" s="436"/>
      <c r="K113" s="436"/>
      <c r="L113" s="436"/>
      <c r="M113" s="436"/>
      <c r="N113" s="436"/>
      <c r="O113" s="436"/>
      <c r="P113" s="436"/>
    </row>
    <row r="114" spans="2:16" x14ac:dyDescent="0.25">
      <c r="B114" s="436"/>
      <c r="C114" s="436"/>
      <c r="D114" s="436"/>
      <c r="E114" s="436"/>
      <c r="F114" s="436"/>
      <c r="G114" s="454"/>
      <c r="H114" s="436"/>
      <c r="I114" s="436"/>
      <c r="J114" s="436"/>
      <c r="K114" s="436"/>
      <c r="L114" s="436"/>
      <c r="M114" s="436"/>
      <c r="N114" s="436"/>
      <c r="O114" s="436"/>
      <c r="P114" s="436"/>
    </row>
    <row r="115" spans="2:16" x14ac:dyDescent="0.25">
      <c r="B115" s="436"/>
      <c r="C115" s="436"/>
      <c r="D115" s="436"/>
      <c r="E115" s="436"/>
      <c r="F115" s="436"/>
      <c r="G115" s="454"/>
      <c r="H115" s="436"/>
      <c r="I115" s="436"/>
      <c r="J115" s="436"/>
      <c r="K115" s="436"/>
      <c r="L115" s="436"/>
      <c r="M115" s="436"/>
      <c r="N115" s="436"/>
      <c r="O115" s="436"/>
      <c r="P115" s="436"/>
    </row>
    <row r="116" spans="2:16" x14ac:dyDescent="0.25">
      <c r="B116" s="436"/>
      <c r="C116" s="436"/>
      <c r="D116" s="436"/>
      <c r="E116" s="436"/>
      <c r="F116" s="436"/>
      <c r="G116" s="454"/>
      <c r="H116" s="436"/>
      <c r="I116" s="436"/>
      <c r="J116" s="436"/>
      <c r="K116" s="436"/>
      <c r="L116" s="436"/>
      <c r="M116" s="436"/>
      <c r="N116" s="436"/>
      <c r="O116" s="436"/>
      <c r="P116" s="436"/>
    </row>
    <row r="117" spans="2:16" x14ac:dyDescent="0.25">
      <c r="B117" s="436"/>
      <c r="C117" s="436"/>
      <c r="D117" s="436"/>
      <c r="E117" s="436"/>
      <c r="F117" s="436"/>
      <c r="G117" s="454"/>
      <c r="H117" s="436"/>
      <c r="I117" s="436"/>
      <c r="J117" s="436"/>
      <c r="K117" s="436"/>
      <c r="L117" s="436"/>
      <c r="M117" s="436"/>
      <c r="N117" s="436"/>
      <c r="O117" s="436"/>
      <c r="P117" s="436"/>
    </row>
    <row r="118" spans="2:16" x14ac:dyDescent="0.25">
      <c r="B118" s="436"/>
      <c r="C118" s="436"/>
      <c r="D118" s="436"/>
      <c r="E118" s="436"/>
      <c r="F118" s="436"/>
      <c r="G118" s="454"/>
      <c r="H118" s="436"/>
      <c r="I118" s="436"/>
      <c r="J118" s="436"/>
      <c r="K118" s="436"/>
      <c r="L118" s="436"/>
      <c r="M118" s="436"/>
      <c r="N118" s="436"/>
      <c r="O118" s="436"/>
      <c r="P118" s="436"/>
    </row>
    <row r="119" spans="2:16" x14ac:dyDescent="0.25">
      <c r="B119" s="436"/>
      <c r="C119" s="436"/>
      <c r="D119" s="436"/>
      <c r="E119" s="436"/>
      <c r="F119" s="436"/>
      <c r="G119" s="454"/>
      <c r="H119" s="436"/>
      <c r="I119" s="436"/>
      <c r="J119" s="436"/>
      <c r="K119" s="436"/>
      <c r="L119" s="436"/>
      <c r="M119" s="436"/>
      <c r="N119" s="436"/>
      <c r="O119" s="436"/>
      <c r="P119" s="436"/>
    </row>
    <row r="120" spans="2:16" x14ac:dyDescent="0.25">
      <c r="B120" s="436"/>
      <c r="C120" s="436"/>
      <c r="D120" s="436"/>
      <c r="E120" s="436"/>
      <c r="F120" s="436"/>
      <c r="G120" s="454"/>
      <c r="H120" s="436"/>
      <c r="I120" s="436"/>
      <c r="J120" s="436"/>
      <c r="K120" s="436"/>
      <c r="L120" s="436"/>
      <c r="M120" s="436"/>
      <c r="N120" s="436"/>
      <c r="O120" s="436"/>
      <c r="P120" s="436"/>
    </row>
    <row r="121" spans="2:16" x14ac:dyDescent="0.25">
      <c r="B121" s="436"/>
      <c r="C121" s="436"/>
      <c r="D121" s="436"/>
      <c r="E121" s="436"/>
      <c r="F121" s="436"/>
      <c r="G121" s="454"/>
      <c r="H121" s="436"/>
      <c r="I121" s="436"/>
      <c r="J121" s="436"/>
      <c r="K121" s="436"/>
      <c r="L121" s="436"/>
      <c r="M121" s="436"/>
      <c r="N121" s="436"/>
      <c r="O121" s="436"/>
      <c r="P121" s="436"/>
    </row>
    <row r="122" spans="2:16" x14ac:dyDescent="0.25">
      <c r="B122" s="436"/>
      <c r="C122" s="436"/>
      <c r="D122" s="436"/>
      <c r="E122" s="436"/>
      <c r="F122" s="436"/>
      <c r="G122" s="454"/>
      <c r="H122" s="436"/>
      <c r="I122" s="436"/>
      <c r="J122" s="436"/>
      <c r="K122" s="436"/>
      <c r="L122" s="436"/>
      <c r="M122" s="436"/>
      <c r="N122" s="436"/>
      <c r="O122" s="436"/>
      <c r="P122" s="436"/>
    </row>
    <row r="123" spans="2:16" x14ac:dyDescent="0.25">
      <c r="B123" s="436"/>
      <c r="C123" s="436"/>
      <c r="D123" s="436"/>
      <c r="E123" s="436"/>
      <c r="F123" s="436"/>
      <c r="G123" s="454"/>
      <c r="H123" s="436"/>
      <c r="I123" s="436"/>
      <c r="J123" s="436"/>
      <c r="K123" s="436"/>
      <c r="L123" s="436"/>
      <c r="M123" s="436"/>
      <c r="N123" s="436"/>
      <c r="O123" s="436"/>
      <c r="P123" s="436"/>
    </row>
    <row r="124" spans="2:16" x14ac:dyDescent="0.25">
      <c r="B124" s="436"/>
      <c r="C124" s="436"/>
      <c r="D124" s="436"/>
      <c r="E124" s="436"/>
      <c r="F124" s="436"/>
      <c r="G124" s="454"/>
      <c r="H124" s="436"/>
      <c r="I124" s="436"/>
      <c r="J124" s="436"/>
      <c r="K124" s="436"/>
      <c r="L124" s="436"/>
      <c r="M124" s="436"/>
      <c r="N124" s="436"/>
      <c r="O124" s="436"/>
      <c r="P124" s="436"/>
    </row>
    <row r="125" spans="2:16" x14ac:dyDescent="0.25">
      <c r="B125" s="436"/>
      <c r="C125" s="436"/>
      <c r="D125" s="436"/>
      <c r="E125" s="436"/>
      <c r="F125" s="436"/>
      <c r="G125" s="454"/>
      <c r="H125" s="436"/>
      <c r="I125" s="436"/>
      <c r="J125" s="436"/>
      <c r="K125" s="436"/>
      <c r="L125" s="436"/>
      <c r="M125" s="436"/>
      <c r="N125" s="436"/>
      <c r="O125" s="436"/>
      <c r="P125" s="436"/>
    </row>
    <row r="126" spans="2:16" x14ac:dyDescent="0.25">
      <c r="B126" s="436"/>
      <c r="C126" s="436"/>
      <c r="D126" s="436"/>
      <c r="E126" s="436"/>
      <c r="F126" s="436"/>
      <c r="G126" s="454"/>
      <c r="H126" s="436"/>
      <c r="I126" s="436"/>
      <c r="J126" s="436"/>
      <c r="K126" s="436"/>
      <c r="L126" s="436"/>
      <c r="M126" s="436"/>
      <c r="N126" s="436"/>
      <c r="O126" s="436"/>
      <c r="P126" s="436"/>
    </row>
    <row r="127" spans="2:16" x14ac:dyDescent="0.25">
      <c r="B127" s="436"/>
      <c r="C127" s="436"/>
      <c r="D127" s="436"/>
      <c r="E127" s="436"/>
      <c r="F127" s="436"/>
      <c r="G127" s="454"/>
      <c r="H127" s="436"/>
      <c r="I127" s="436"/>
      <c r="J127" s="436"/>
      <c r="K127" s="436"/>
      <c r="L127" s="436"/>
      <c r="M127" s="436"/>
      <c r="N127" s="436"/>
      <c r="O127" s="436"/>
      <c r="P127" s="436"/>
    </row>
    <row r="128" spans="2:16" x14ac:dyDescent="0.25">
      <c r="B128" s="436"/>
      <c r="C128" s="436"/>
      <c r="D128" s="436"/>
      <c r="E128" s="436"/>
      <c r="F128" s="436"/>
      <c r="G128" s="454"/>
      <c r="H128" s="436"/>
      <c r="I128" s="436"/>
      <c r="J128" s="436"/>
      <c r="K128" s="436"/>
      <c r="L128" s="436"/>
      <c r="M128" s="436"/>
      <c r="N128" s="436"/>
      <c r="O128" s="436"/>
      <c r="P128" s="436"/>
    </row>
    <row r="129" spans="2:16" x14ac:dyDescent="0.25">
      <c r="B129" s="436"/>
      <c r="C129" s="436"/>
      <c r="D129" s="436"/>
      <c r="E129" s="436"/>
      <c r="F129" s="436"/>
      <c r="G129" s="454"/>
      <c r="H129" s="436"/>
      <c r="I129" s="436"/>
      <c r="J129" s="436"/>
      <c r="K129" s="436"/>
      <c r="L129" s="436"/>
      <c r="M129" s="436"/>
      <c r="N129" s="436"/>
      <c r="O129" s="436"/>
      <c r="P129" s="436"/>
    </row>
    <row r="130" spans="2:16" x14ac:dyDescent="0.25">
      <c r="B130" s="436"/>
      <c r="C130" s="436"/>
      <c r="D130" s="436"/>
      <c r="E130" s="436"/>
      <c r="F130" s="436"/>
      <c r="G130" s="454"/>
      <c r="H130" s="436"/>
      <c r="I130" s="436"/>
      <c r="J130" s="436"/>
      <c r="K130" s="436"/>
      <c r="L130" s="436"/>
      <c r="M130" s="436"/>
      <c r="N130" s="436"/>
      <c r="O130" s="436"/>
      <c r="P130" s="436"/>
    </row>
    <row r="131" spans="2:16" x14ac:dyDescent="0.25">
      <c r="B131" s="436"/>
      <c r="C131" s="436"/>
      <c r="D131" s="436"/>
      <c r="E131" s="436"/>
      <c r="F131" s="436"/>
      <c r="G131" s="454"/>
      <c r="H131" s="436"/>
      <c r="I131" s="436"/>
      <c r="J131" s="436"/>
      <c r="K131" s="436"/>
      <c r="L131" s="436"/>
      <c r="M131" s="436"/>
      <c r="N131" s="436"/>
      <c r="O131" s="436"/>
      <c r="P131" s="436"/>
    </row>
    <row r="132" spans="2:16" x14ac:dyDescent="0.25">
      <c r="B132" s="436"/>
      <c r="C132" s="436"/>
      <c r="D132" s="436"/>
      <c r="E132" s="436"/>
      <c r="F132" s="436"/>
      <c r="G132" s="454"/>
      <c r="H132" s="436"/>
      <c r="I132" s="436"/>
      <c r="J132" s="436"/>
      <c r="K132" s="436"/>
      <c r="L132" s="436"/>
      <c r="M132" s="436"/>
      <c r="N132" s="436"/>
      <c r="O132" s="436"/>
      <c r="P132" s="436"/>
    </row>
    <row r="133" spans="2:16" x14ac:dyDescent="0.25">
      <c r="B133" s="436"/>
      <c r="C133" s="436"/>
      <c r="D133" s="436"/>
      <c r="E133" s="436"/>
      <c r="F133" s="436"/>
      <c r="G133" s="454"/>
      <c r="H133" s="436"/>
      <c r="I133" s="436"/>
      <c r="J133" s="436"/>
      <c r="K133" s="436"/>
      <c r="L133" s="436"/>
      <c r="M133" s="436"/>
      <c r="N133" s="436"/>
      <c r="O133" s="436"/>
      <c r="P133" s="436"/>
    </row>
    <row r="134" spans="2:16" x14ac:dyDescent="0.25">
      <c r="B134" s="436"/>
      <c r="C134" s="436"/>
      <c r="D134" s="436"/>
      <c r="E134" s="436"/>
      <c r="F134" s="436"/>
      <c r="G134" s="454"/>
      <c r="H134" s="436"/>
      <c r="I134" s="436"/>
      <c r="J134" s="436"/>
      <c r="K134" s="436"/>
      <c r="L134" s="436"/>
      <c r="M134" s="436"/>
      <c r="N134" s="436"/>
      <c r="O134" s="436"/>
      <c r="P134" s="436"/>
    </row>
    <row r="135" spans="2:16" x14ac:dyDescent="0.25">
      <c r="B135" s="436"/>
      <c r="C135" s="436"/>
      <c r="D135" s="436"/>
      <c r="E135" s="436"/>
      <c r="F135" s="436"/>
      <c r="G135" s="454"/>
      <c r="H135" s="436"/>
      <c r="I135" s="436"/>
      <c r="J135" s="436"/>
      <c r="K135" s="436"/>
      <c r="L135" s="436"/>
      <c r="M135" s="436"/>
      <c r="N135" s="436"/>
      <c r="O135" s="436"/>
      <c r="P135" s="436"/>
    </row>
    <row r="136" spans="2:16" x14ac:dyDescent="0.25">
      <c r="B136" s="436"/>
      <c r="C136" s="436"/>
      <c r="D136" s="436"/>
      <c r="E136" s="436"/>
      <c r="F136" s="436"/>
      <c r="G136" s="454"/>
      <c r="H136" s="436"/>
      <c r="I136" s="436"/>
      <c r="J136" s="436"/>
      <c r="K136" s="436"/>
      <c r="L136" s="436"/>
      <c r="M136" s="436"/>
      <c r="N136" s="436"/>
      <c r="O136" s="436"/>
      <c r="P136" s="436"/>
    </row>
    <row r="137" spans="2:16" x14ac:dyDescent="0.25">
      <c r="B137" s="436"/>
      <c r="C137" s="436"/>
      <c r="D137" s="436"/>
      <c r="E137" s="436"/>
      <c r="F137" s="436"/>
      <c r="G137" s="454"/>
      <c r="H137" s="436"/>
      <c r="I137" s="436"/>
      <c r="J137" s="436"/>
      <c r="K137" s="436"/>
      <c r="L137" s="436"/>
      <c r="M137" s="436"/>
      <c r="N137" s="436"/>
      <c r="O137" s="436"/>
      <c r="P137" s="436"/>
    </row>
    <row r="138" spans="2:16" x14ac:dyDescent="0.25">
      <c r="B138" s="436"/>
      <c r="C138" s="436"/>
      <c r="D138" s="436"/>
      <c r="E138" s="436"/>
      <c r="F138" s="436"/>
      <c r="G138" s="454"/>
      <c r="H138" s="436"/>
      <c r="I138" s="436"/>
      <c r="J138" s="436"/>
      <c r="K138" s="436"/>
      <c r="L138" s="436"/>
      <c r="M138" s="436"/>
      <c r="N138" s="436"/>
      <c r="O138" s="436"/>
      <c r="P138" s="436"/>
    </row>
    <row r="139" spans="2:16" x14ac:dyDescent="0.25">
      <c r="B139" s="436"/>
      <c r="C139" s="436"/>
      <c r="D139" s="436"/>
      <c r="E139" s="436"/>
      <c r="F139" s="436"/>
      <c r="G139" s="454"/>
      <c r="H139" s="436"/>
      <c r="I139" s="436"/>
      <c r="J139" s="436"/>
      <c r="K139" s="436"/>
      <c r="L139" s="436"/>
      <c r="M139" s="436"/>
      <c r="N139" s="436"/>
      <c r="O139" s="436"/>
      <c r="P139" s="436"/>
    </row>
    <row r="140" spans="2:16" x14ac:dyDescent="0.25">
      <c r="B140" s="436"/>
      <c r="C140" s="436"/>
      <c r="D140" s="436"/>
      <c r="E140" s="436"/>
      <c r="F140" s="436"/>
      <c r="G140" s="454"/>
      <c r="H140" s="436"/>
      <c r="I140" s="436"/>
      <c r="J140" s="436"/>
      <c r="K140" s="436"/>
      <c r="L140" s="436"/>
      <c r="M140" s="436"/>
      <c r="N140" s="436"/>
      <c r="O140" s="436"/>
      <c r="P140" s="436"/>
    </row>
    <row r="141" spans="2:16" x14ac:dyDescent="0.25">
      <c r="B141" s="436"/>
      <c r="C141" s="436"/>
      <c r="D141" s="436"/>
      <c r="E141" s="436"/>
      <c r="F141" s="436"/>
      <c r="G141" s="454"/>
      <c r="H141" s="436"/>
      <c r="I141" s="436"/>
      <c r="J141" s="436"/>
      <c r="K141" s="436"/>
      <c r="L141" s="436"/>
      <c r="M141" s="436"/>
      <c r="N141" s="436"/>
      <c r="O141" s="436"/>
      <c r="P141" s="436"/>
    </row>
    <row r="142" spans="2:16" x14ac:dyDescent="0.25">
      <c r="B142" s="436"/>
      <c r="C142" s="436"/>
      <c r="D142" s="436"/>
      <c r="E142" s="436"/>
      <c r="F142" s="436"/>
      <c r="G142" s="454"/>
      <c r="H142" s="436"/>
      <c r="I142" s="436"/>
      <c r="J142" s="436"/>
      <c r="K142" s="436"/>
      <c r="L142" s="436"/>
      <c r="M142" s="436"/>
      <c r="N142" s="436"/>
      <c r="O142" s="436"/>
      <c r="P142" s="436"/>
    </row>
    <row r="143" spans="2:16" x14ac:dyDescent="0.25">
      <c r="B143" s="436"/>
      <c r="C143" s="436"/>
      <c r="D143" s="436"/>
      <c r="E143" s="436"/>
      <c r="F143" s="436"/>
      <c r="G143" s="454"/>
      <c r="H143" s="436"/>
      <c r="I143" s="436"/>
      <c r="J143" s="436"/>
      <c r="K143" s="436"/>
      <c r="L143" s="436"/>
      <c r="M143" s="436"/>
      <c r="N143" s="436"/>
      <c r="O143" s="436"/>
      <c r="P143" s="436"/>
    </row>
    <row r="144" spans="2:16" x14ac:dyDescent="0.25">
      <c r="B144" s="436"/>
      <c r="C144" s="436"/>
      <c r="D144" s="436"/>
      <c r="E144" s="436"/>
      <c r="F144" s="436"/>
      <c r="G144" s="454"/>
      <c r="H144" s="436"/>
      <c r="I144" s="436"/>
      <c r="J144" s="436"/>
      <c r="K144" s="436"/>
      <c r="L144" s="436"/>
      <c r="M144" s="436"/>
      <c r="N144" s="436"/>
      <c r="O144" s="436"/>
      <c r="P144" s="436"/>
    </row>
    <row r="145" spans="2:16" x14ac:dyDescent="0.25">
      <c r="B145" s="436"/>
      <c r="C145" s="436"/>
      <c r="D145" s="436"/>
      <c r="E145" s="436"/>
      <c r="F145" s="436"/>
      <c r="G145" s="454"/>
      <c r="H145" s="436"/>
      <c r="I145" s="436"/>
      <c r="J145" s="436"/>
      <c r="K145" s="436"/>
      <c r="L145" s="436"/>
      <c r="M145" s="436"/>
      <c r="N145" s="436"/>
      <c r="O145" s="436"/>
      <c r="P145" s="436"/>
    </row>
    <row r="146" spans="2:16" x14ac:dyDescent="0.25">
      <c r="B146" s="436"/>
      <c r="C146" s="436"/>
      <c r="D146" s="436"/>
      <c r="E146" s="436"/>
      <c r="F146" s="436"/>
      <c r="G146" s="454"/>
      <c r="H146" s="436"/>
      <c r="I146" s="436"/>
      <c r="J146" s="436"/>
      <c r="K146" s="436"/>
      <c r="L146" s="436"/>
      <c r="M146" s="436"/>
      <c r="N146" s="436"/>
      <c r="O146" s="436"/>
      <c r="P146" s="436"/>
    </row>
    <row r="147" spans="2:16" x14ac:dyDescent="0.25">
      <c r="B147" s="436"/>
      <c r="C147" s="436"/>
      <c r="D147" s="436"/>
      <c r="E147" s="436"/>
      <c r="F147" s="436"/>
      <c r="G147" s="454"/>
      <c r="H147" s="436"/>
      <c r="I147" s="436"/>
      <c r="J147" s="436"/>
      <c r="K147" s="436"/>
      <c r="L147" s="436"/>
      <c r="M147" s="436"/>
      <c r="N147" s="436"/>
      <c r="O147" s="436"/>
      <c r="P147" s="436"/>
    </row>
    <row r="148" spans="2:16" x14ac:dyDescent="0.25">
      <c r="B148" s="436"/>
      <c r="C148" s="436"/>
      <c r="D148" s="436"/>
      <c r="E148" s="436"/>
      <c r="F148" s="436"/>
      <c r="G148" s="454"/>
      <c r="H148" s="436"/>
      <c r="I148" s="436"/>
      <c r="J148" s="436"/>
      <c r="K148" s="436"/>
      <c r="L148" s="436"/>
      <c r="M148" s="436"/>
      <c r="N148" s="436"/>
      <c r="O148" s="436"/>
      <c r="P148" s="436"/>
    </row>
    <row r="149" spans="2:16" x14ac:dyDescent="0.25">
      <c r="B149" s="436"/>
      <c r="C149" s="436"/>
      <c r="D149" s="436"/>
      <c r="E149" s="436"/>
      <c r="F149" s="436"/>
      <c r="G149" s="454"/>
      <c r="H149" s="436"/>
      <c r="I149" s="436"/>
      <c r="J149" s="436"/>
      <c r="K149" s="436"/>
      <c r="L149" s="436"/>
      <c r="M149" s="436"/>
      <c r="N149" s="436"/>
      <c r="O149" s="436"/>
      <c r="P149" s="436"/>
    </row>
    <row r="150" spans="2:16" x14ac:dyDescent="0.25">
      <c r="B150" s="436"/>
      <c r="C150" s="436"/>
      <c r="D150" s="436"/>
      <c r="E150" s="436"/>
      <c r="F150" s="436"/>
      <c r="G150" s="454"/>
      <c r="H150" s="436"/>
      <c r="I150" s="436"/>
      <c r="J150" s="436"/>
      <c r="K150" s="436"/>
      <c r="L150" s="436"/>
      <c r="M150" s="436"/>
      <c r="N150" s="436"/>
      <c r="O150" s="436"/>
      <c r="P150" s="436"/>
    </row>
    <row r="151" spans="2:16" x14ac:dyDescent="0.25">
      <c r="B151" s="436"/>
      <c r="C151" s="436"/>
      <c r="D151" s="436"/>
      <c r="E151" s="436"/>
      <c r="F151" s="436"/>
      <c r="G151" s="454"/>
      <c r="H151" s="436"/>
      <c r="I151" s="436"/>
      <c r="J151" s="436"/>
      <c r="K151" s="436"/>
      <c r="L151" s="436"/>
      <c r="M151" s="436"/>
      <c r="N151" s="436"/>
      <c r="O151" s="436"/>
      <c r="P151" s="436"/>
    </row>
    <row r="152" spans="2:16" x14ac:dyDescent="0.25">
      <c r="B152" s="436"/>
      <c r="C152" s="436"/>
      <c r="D152" s="436"/>
      <c r="E152" s="436"/>
      <c r="F152" s="436"/>
      <c r="G152" s="454"/>
      <c r="H152" s="436"/>
      <c r="I152" s="436"/>
      <c r="J152" s="436"/>
      <c r="K152" s="436"/>
      <c r="L152" s="436"/>
      <c r="M152" s="436"/>
      <c r="N152" s="436"/>
      <c r="O152" s="436"/>
      <c r="P152" s="436"/>
    </row>
    <row r="153" spans="2:16" x14ac:dyDescent="0.25">
      <c r="B153" s="436"/>
      <c r="C153" s="436"/>
      <c r="D153" s="436"/>
      <c r="E153" s="436"/>
      <c r="F153" s="436"/>
      <c r="G153" s="454"/>
      <c r="H153" s="436"/>
      <c r="I153" s="436"/>
      <c r="J153" s="436"/>
      <c r="K153" s="436"/>
      <c r="L153" s="436"/>
      <c r="M153" s="436"/>
      <c r="N153" s="436"/>
      <c r="O153" s="436"/>
      <c r="P153" s="436"/>
    </row>
    <row r="154" spans="2:16" x14ac:dyDescent="0.25">
      <c r="B154" s="436"/>
      <c r="C154" s="436"/>
      <c r="D154" s="436"/>
      <c r="E154" s="436"/>
      <c r="F154" s="436"/>
      <c r="G154" s="454"/>
      <c r="H154" s="436"/>
      <c r="I154" s="436"/>
      <c r="J154" s="436"/>
      <c r="K154" s="436"/>
      <c r="L154" s="436"/>
      <c r="M154" s="436"/>
      <c r="N154" s="436"/>
      <c r="O154" s="436"/>
      <c r="P154" s="436"/>
    </row>
    <row r="155" spans="2:16" x14ac:dyDescent="0.25">
      <c r="B155" s="436"/>
      <c r="C155" s="436"/>
      <c r="D155" s="436"/>
      <c r="E155" s="436"/>
      <c r="F155" s="436"/>
      <c r="G155" s="454"/>
      <c r="H155" s="436"/>
      <c r="I155" s="436"/>
      <c r="J155" s="436"/>
      <c r="K155" s="436"/>
      <c r="L155" s="436"/>
      <c r="M155" s="436"/>
      <c r="N155" s="436"/>
      <c r="O155" s="436"/>
      <c r="P155" s="436"/>
    </row>
    <row r="156" spans="2:16" x14ac:dyDescent="0.25">
      <c r="B156" s="436"/>
      <c r="C156" s="436"/>
      <c r="D156" s="436"/>
      <c r="E156" s="436"/>
      <c r="F156" s="436"/>
      <c r="G156" s="454"/>
      <c r="H156" s="436"/>
      <c r="I156" s="436"/>
      <c r="J156" s="436"/>
      <c r="K156" s="436"/>
      <c r="L156" s="436"/>
      <c r="M156" s="436"/>
      <c r="N156" s="436"/>
      <c r="O156" s="436"/>
      <c r="P156" s="436"/>
    </row>
    <row r="157" spans="2:16" x14ac:dyDescent="0.25">
      <c r="B157" s="436"/>
      <c r="C157" s="436"/>
      <c r="D157" s="436"/>
      <c r="E157" s="436"/>
      <c r="F157" s="436"/>
      <c r="G157" s="454"/>
      <c r="H157" s="436"/>
      <c r="I157" s="436"/>
      <c r="J157" s="436"/>
      <c r="K157" s="436"/>
      <c r="L157" s="436"/>
      <c r="M157" s="436"/>
      <c r="N157" s="436"/>
      <c r="O157" s="436"/>
      <c r="P157" s="436"/>
    </row>
    <row r="158" spans="2:16" x14ac:dyDescent="0.25">
      <c r="B158" s="436"/>
      <c r="C158" s="436"/>
      <c r="D158" s="436"/>
      <c r="E158" s="436"/>
      <c r="F158" s="436"/>
      <c r="G158" s="454"/>
      <c r="H158" s="436"/>
      <c r="I158" s="436"/>
      <c r="J158" s="436"/>
      <c r="K158" s="436"/>
      <c r="L158" s="436"/>
      <c r="M158" s="436"/>
      <c r="N158" s="436"/>
      <c r="O158" s="436"/>
      <c r="P158" s="436"/>
    </row>
    <row r="159" spans="2:16" x14ac:dyDescent="0.25">
      <c r="B159" s="436"/>
      <c r="C159" s="436"/>
      <c r="D159" s="436"/>
      <c r="E159" s="436"/>
      <c r="F159" s="436"/>
      <c r="G159" s="454"/>
      <c r="H159" s="436"/>
      <c r="I159" s="436"/>
      <c r="J159" s="436"/>
      <c r="K159" s="436"/>
      <c r="L159" s="436"/>
      <c r="M159" s="436"/>
      <c r="N159" s="436"/>
      <c r="O159" s="436"/>
      <c r="P159" s="436"/>
    </row>
    <row r="160" spans="2:16" x14ac:dyDescent="0.25">
      <c r="B160" s="436"/>
      <c r="C160" s="436"/>
      <c r="D160" s="436"/>
      <c r="E160" s="436"/>
      <c r="F160" s="436"/>
      <c r="G160" s="454"/>
      <c r="H160" s="436"/>
      <c r="I160" s="436"/>
      <c r="J160" s="436"/>
      <c r="K160" s="436"/>
      <c r="L160" s="436"/>
      <c r="M160" s="436"/>
      <c r="N160" s="436"/>
      <c r="O160" s="436"/>
      <c r="P160" s="436"/>
    </row>
    <row r="161" spans="2:16" x14ac:dyDescent="0.25">
      <c r="B161" s="436"/>
      <c r="C161" s="436"/>
      <c r="D161" s="436"/>
      <c r="E161" s="436"/>
      <c r="F161" s="436"/>
      <c r="G161" s="454"/>
      <c r="H161" s="436"/>
      <c r="I161" s="436"/>
      <c r="J161" s="436"/>
      <c r="K161" s="436"/>
      <c r="L161" s="436"/>
      <c r="M161" s="436"/>
      <c r="N161" s="436"/>
      <c r="O161" s="436"/>
      <c r="P161" s="436"/>
    </row>
    <row r="162" spans="2:16" x14ac:dyDescent="0.25">
      <c r="B162" s="436"/>
      <c r="C162" s="436"/>
      <c r="D162" s="436"/>
      <c r="E162" s="436"/>
      <c r="F162" s="436"/>
      <c r="G162" s="454"/>
      <c r="H162" s="436"/>
      <c r="I162" s="436"/>
      <c r="J162" s="436"/>
      <c r="K162" s="436"/>
      <c r="L162" s="436"/>
      <c r="M162" s="436"/>
      <c r="N162" s="436"/>
      <c r="O162" s="436"/>
      <c r="P162" s="436"/>
    </row>
    <row r="163" spans="2:16" x14ac:dyDescent="0.25">
      <c r="B163" s="436"/>
      <c r="C163" s="436"/>
      <c r="D163" s="436"/>
      <c r="E163" s="436"/>
      <c r="F163" s="436"/>
      <c r="G163" s="454"/>
      <c r="H163" s="436"/>
      <c r="I163" s="436"/>
      <c r="J163" s="436"/>
      <c r="K163" s="436"/>
      <c r="L163" s="436"/>
      <c r="M163" s="436"/>
      <c r="N163" s="436"/>
      <c r="O163" s="436"/>
      <c r="P163" s="436"/>
    </row>
    <row r="164" spans="2:16" x14ac:dyDescent="0.25">
      <c r="B164" s="436"/>
      <c r="C164" s="436"/>
      <c r="D164" s="436"/>
      <c r="E164" s="436"/>
      <c r="F164" s="436"/>
      <c r="G164" s="454"/>
      <c r="H164" s="436"/>
      <c r="I164" s="436"/>
      <c r="J164" s="436"/>
      <c r="K164" s="436"/>
      <c r="L164" s="436"/>
      <c r="M164" s="436"/>
      <c r="N164" s="436"/>
      <c r="O164" s="436"/>
      <c r="P164" s="436"/>
    </row>
    <row r="165" spans="2:16" x14ac:dyDescent="0.25">
      <c r="B165" s="436"/>
      <c r="C165" s="436"/>
      <c r="D165" s="436"/>
      <c r="E165" s="436"/>
      <c r="F165" s="436"/>
      <c r="G165" s="454"/>
      <c r="H165" s="436"/>
      <c r="I165" s="436"/>
      <c r="J165" s="436"/>
      <c r="K165" s="436"/>
      <c r="L165" s="436"/>
      <c r="M165" s="436"/>
      <c r="N165" s="436"/>
      <c r="O165" s="436"/>
      <c r="P165" s="436"/>
    </row>
    <row r="166" spans="2:16" x14ac:dyDescent="0.25">
      <c r="B166" s="436"/>
      <c r="C166" s="436"/>
      <c r="D166" s="436"/>
      <c r="E166" s="436"/>
      <c r="F166" s="436"/>
      <c r="G166" s="454"/>
      <c r="H166" s="436"/>
      <c r="I166" s="436"/>
      <c r="J166" s="436"/>
      <c r="K166" s="436"/>
      <c r="L166" s="436"/>
      <c r="M166" s="436"/>
      <c r="N166" s="436"/>
      <c r="O166" s="436"/>
      <c r="P166" s="436"/>
    </row>
    <row r="167" spans="2:16" x14ac:dyDescent="0.25">
      <c r="B167" s="436"/>
      <c r="C167" s="436"/>
      <c r="D167" s="436"/>
      <c r="E167" s="436"/>
      <c r="F167" s="436"/>
      <c r="G167" s="454"/>
      <c r="H167" s="436"/>
      <c r="I167" s="436"/>
      <c r="J167" s="436"/>
      <c r="K167" s="436"/>
      <c r="L167" s="436"/>
      <c r="M167" s="436"/>
      <c r="N167" s="436"/>
      <c r="O167" s="436"/>
      <c r="P167" s="436"/>
    </row>
    <row r="168" spans="2:16" x14ac:dyDescent="0.25">
      <c r="B168" s="436"/>
      <c r="C168" s="436"/>
      <c r="D168" s="436"/>
      <c r="E168" s="436"/>
      <c r="F168" s="436"/>
      <c r="G168" s="454"/>
      <c r="H168" s="436"/>
      <c r="I168" s="436"/>
      <c r="J168" s="436"/>
      <c r="K168" s="436"/>
      <c r="L168" s="436"/>
      <c r="M168" s="436"/>
      <c r="N168" s="436"/>
      <c r="O168" s="436"/>
      <c r="P168" s="436"/>
    </row>
    <row r="169" spans="2:16" x14ac:dyDescent="0.25">
      <c r="B169" s="436"/>
      <c r="C169" s="436"/>
      <c r="D169" s="436"/>
      <c r="E169" s="436"/>
      <c r="F169" s="436"/>
      <c r="G169" s="454"/>
      <c r="H169" s="436"/>
      <c r="I169" s="436"/>
      <c r="J169" s="436"/>
      <c r="K169" s="436"/>
      <c r="L169" s="436"/>
      <c r="M169" s="436"/>
      <c r="N169" s="436"/>
      <c r="O169" s="436"/>
      <c r="P169" s="436"/>
    </row>
    <row r="170" spans="2:16" x14ac:dyDescent="0.25">
      <c r="B170" s="436"/>
      <c r="C170" s="436"/>
      <c r="D170" s="436"/>
      <c r="E170" s="436"/>
      <c r="F170" s="436"/>
      <c r="G170" s="454"/>
      <c r="H170" s="436"/>
      <c r="I170" s="436"/>
      <c r="J170" s="436"/>
      <c r="K170" s="436"/>
      <c r="L170" s="436"/>
      <c r="M170" s="436"/>
      <c r="N170" s="436"/>
      <c r="O170" s="436"/>
      <c r="P170" s="436"/>
    </row>
    <row r="171" spans="2:16" x14ac:dyDescent="0.25">
      <c r="B171" s="436"/>
      <c r="C171" s="436"/>
      <c r="D171" s="436"/>
      <c r="E171" s="436"/>
      <c r="F171" s="436"/>
      <c r="G171" s="454"/>
      <c r="H171" s="436"/>
      <c r="I171" s="436"/>
      <c r="J171" s="436"/>
      <c r="K171" s="436"/>
      <c r="L171" s="436"/>
      <c r="M171" s="436"/>
      <c r="N171" s="436"/>
      <c r="O171" s="436"/>
      <c r="P171" s="436"/>
    </row>
    <row r="172" spans="2:16" x14ac:dyDescent="0.25">
      <c r="B172" s="436"/>
      <c r="C172" s="436"/>
      <c r="D172" s="436"/>
      <c r="E172" s="436"/>
      <c r="F172" s="436"/>
      <c r="G172" s="454"/>
      <c r="H172" s="436"/>
      <c r="I172" s="436"/>
      <c r="J172" s="436"/>
      <c r="K172" s="436"/>
      <c r="L172" s="436"/>
      <c r="M172" s="436"/>
      <c r="N172" s="436"/>
      <c r="O172" s="436"/>
      <c r="P172" s="436"/>
    </row>
    <row r="173" spans="2:16" x14ac:dyDescent="0.25">
      <c r="B173" s="436"/>
      <c r="C173" s="436"/>
      <c r="D173" s="436"/>
      <c r="E173" s="436"/>
      <c r="F173" s="436"/>
      <c r="G173" s="454"/>
      <c r="H173" s="436"/>
      <c r="I173" s="436"/>
      <c r="J173" s="436"/>
      <c r="K173" s="436"/>
      <c r="L173" s="436"/>
      <c r="M173" s="436"/>
      <c r="N173" s="436"/>
      <c r="O173" s="436"/>
      <c r="P173" s="436"/>
    </row>
    <row r="174" spans="2:16" x14ac:dyDescent="0.25">
      <c r="B174" s="436"/>
      <c r="C174" s="436"/>
      <c r="D174" s="436"/>
      <c r="E174" s="436"/>
      <c r="F174" s="436"/>
      <c r="G174" s="454"/>
      <c r="H174" s="436"/>
      <c r="I174" s="436"/>
      <c r="J174" s="436"/>
      <c r="K174" s="436"/>
      <c r="L174" s="436"/>
      <c r="M174" s="436"/>
      <c r="N174" s="436"/>
      <c r="O174" s="436"/>
      <c r="P174" s="436"/>
    </row>
    <row r="175" spans="2:16" x14ac:dyDescent="0.25">
      <c r="B175" s="436"/>
      <c r="C175" s="436"/>
      <c r="D175" s="436"/>
      <c r="E175" s="436"/>
      <c r="F175" s="436"/>
      <c r="G175" s="454"/>
      <c r="H175" s="436"/>
      <c r="I175" s="436"/>
      <c r="J175" s="436"/>
      <c r="K175" s="436"/>
      <c r="L175" s="436"/>
      <c r="M175" s="436"/>
      <c r="N175" s="436"/>
      <c r="O175" s="436"/>
      <c r="P175" s="436"/>
    </row>
    <row r="176" spans="2:16" x14ac:dyDescent="0.25">
      <c r="B176" s="436"/>
      <c r="C176" s="436"/>
      <c r="D176" s="436"/>
      <c r="E176" s="436"/>
      <c r="F176" s="436"/>
      <c r="G176" s="454"/>
      <c r="H176" s="436"/>
      <c r="I176" s="436"/>
      <c r="J176" s="436"/>
      <c r="K176" s="436"/>
      <c r="L176" s="436"/>
      <c r="M176" s="436"/>
      <c r="N176" s="436"/>
      <c r="O176" s="436"/>
      <c r="P176" s="436"/>
    </row>
    <row r="177" spans="2:16" x14ac:dyDescent="0.25">
      <c r="B177" s="436"/>
      <c r="C177" s="436"/>
      <c r="D177" s="436"/>
      <c r="E177" s="436"/>
      <c r="F177" s="436"/>
      <c r="G177" s="454"/>
      <c r="H177" s="436"/>
      <c r="I177" s="436"/>
      <c r="J177" s="436"/>
      <c r="K177" s="436"/>
      <c r="L177" s="436"/>
      <c r="M177" s="436"/>
      <c r="N177" s="436"/>
      <c r="O177" s="436"/>
      <c r="P177" s="436"/>
    </row>
    <row r="178" spans="2:16" x14ac:dyDescent="0.25">
      <c r="B178" s="436"/>
      <c r="C178" s="436"/>
      <c r="D178" s="436"/>
      <c r="E178" s="436"/>
      <c r="F178" s="436"/>
      <c r="G178" s="454"/>
      <c r="H178" s="436"/>
      <c r="I178" s="436"/>
      <c r="J178" s="436"/>
      <c r="K178" s="436"/>
      <c r="L178" s="436"/>
      <c r="M178" s="436"/>
      <c r="N178" s="436"/>
      <c r="O178" s="436"/>
      <c r="P178" s="436"/>
    </row>
  </sheetData>
  <mergeCells count="14">
    <mergeCell ref="J21:J22"/>
    <mergeCell ref="K21:K23"/>
    <mergeCell ref="L21:L22"/>
    <mergeCell ref="Q19:R21"/>
    <mergeCell ref="B11:G11"/>
    <mergeCell ref="B19:B23"/>
    <mergeCell ref="D19:G20"/>
    <mergeCell ref="I19:L20"/>
    <mergeCell ref="N19:O21"/>
    <mergeCell ref="D21:D22"/>
    <mergeCell ref="E21:E22"/>
    <mergeCell ref="F21:F23"/>
    <mergeCell ref="G21:G22"/>
    <mergeCell ref="I21:I22"/>
  </mergeCells>
  <pageMargins left="0.7" right="0.7" top="0.75" bottom="0.75" header="0.3" footer="0.3"/>
  <pageSetup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9" defaultRowHeight="15.75" x14ac:dyDescent="0.25"/>
  <cols>
    <col min="1" max="1" width="12.140625" style="391" customWidth="1"/>
    <col min="2" max="2" width="5.42578125" style="388" customWidth="1"/>
    <col min="3" max="3" width="6.42578125" style="388" customWidth="1"/>
    <col min="4" max="4" width="42.140625" style="388" customWidth="1"/>
    <col min="5" max="6" width="12.7109375" style="388" bestFit="1" customWidth="1"/>
    <col min="7" max="7" width="4.85546875" style="389" customWidth="1"/>
    <col min="8" max="8" width="5.5703125" style="389" customWidth="1"/>
    <col min="9" max="9" width="48.85546875" style="389" customWidth="1"/>
    <col min="10" max="11" width="12.7109375" style="388" bestFit="1" customWidth="1"/>
    <col min="12" max="12" width="4.7109375" style="389" customWidth="1"/>
    <col min="13" max="13" width="5.5703125" style="389" customWidth="1"/>
    <col min="14" max="14" width="47.5703125" style="389" customWidth="1"/>
    <col min="15" max="16" width="12.7109375" style="388" bestFit="1" customWidth="1"/>
    <col min="17" max="16384" width="9" style="389"/>
  </cols>
  <sheetData>
    <row r="1" spans="1:17" s="386" customFormat="1" ht="14.65" customHeight="1" x14ac:dyDescent="0.25">
      <c r="A1" s="732" t="s">
        <v>534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</row>
    <row r="2" spans="1:17" x14ac:dyDescent="0.25">
      <c r="A2" s="387" t="s">
        <v>838</v>
      </c>
      <c r="I2" s="390"/>
    </row>
    <row r="3" spans="1:17" x14ac:dyDescent="0.25">
      <c r="B3" s="392"/>
      <c r="C3" s="392"/>
      <c r="D3" s="392"/>
      <c r="E3" s="392"/>
      <c r="F3" s="392"/>
      <c r="G3" s="393"/>
      <c r="H3" s="393"/>
      <c r="I3" s="393"/>
      <c r="J3" s="392"/>
      <c r="K3" s="392"/>
      <c r="L3" s="393"/>
      <c r="M3" s="393"/>
      <c r="N3" s="393"/>
      <c r="O3" s="392"/>
      <c r="P3" s="392"/>
      <c r="Q3" s="393"/>
    </row>
    <row r="4" spans="1:17" ht="15.75" customHeight="1" x14ac:dyDescent="0.25">
      <c r="B4" s="394"/>
      <c r="C4" s="737" t="s">
        <v>19</v>
      </c>
      <c r="D4" s="738"/>
      <c r="E4" s="738"/>
      <c r="F4" s="739"/>
      <c r="G4" s="393"/>
      <c r="H4" s="737" t="s">
        <v>818</v>
      </c>
      <c r="I4" s="738"/>
      <c r="J4" s="738"/>
      <c r="K4" s="739"/>
      <c r="L4" s="393"/>
      <c r="M4" s="737" t="s">
        <v>20</v>
      </c>
      <c r="N4" s="738"/>
      <c r="O4" s="738"/>
      <c r="P4" s="739"/>
      <c r="Q4" s="393"/>
    </row>
    <row r="5" spans="1:17" x14ac:dyDescent="0.25">
      <c r="B5" s="395"/>
      <c r="C5" s="396"/>
      <c r="D5" s="397"/>
      <c r="E5" s="395" t="s">
        <v>0</v>
      </c>
      <c r="F5" s="395" t="s">
        <v>1</v>
      </c>
      <c r="G5" s="393"/>
      <c r="H5" s="397"/>
      <c r="I5" s="397"/>
      <c r="J5" s="395" t="s">
        <v>0</v>
      </c>
      <c r="K5" s="395" t="s">
        <v>1</v>
      </c>
      <c r="L5" s="393"/>
      <c r="M5" s="397"/>
      <c r="N5" s="397"/>
      <c r="O5" s="395" t="s">
        <v>0</v>
      </c>
      <c r="P5" s="395" t="s">
        <v>1</v>
      </c>
      <c r="Q5" s="393"/>
    </row>
    <row r="6" spans="1:17" x14ac:dyDescent="0.25">
      <c r="A6" s="398" t="s">
        <v>102</v>
      </c>
      <c r="B6" s="395"/>
      <c r="C6" s="399"/>
      <c r="D6" s="395"/>
      <c r="E6" s="395"/>
      <c r="F6" s="395"/>
      <c r="G6" s="393"/>
      <c r="H6" s="397"/>
      <c r="I6" s="397"/>
      <c r="J6" s="395"/>
      <c r="K6" s="395"/>
      <c r="L6" s="393"/>
      <c r="M6" s="397"/>
      <c r="N6" s="397"/>
      <c r="O6" s="395"/>
      <c r="P6" s="395"/>
      <c r="Q6" s="393"/>
    </row>
    <row r="7" spans="1:17" x14ac:dyDescent="0.25">
      <c r="A7" s="391" t="s">
        <v>480</v>
      </c>
      <c r="B7" s="401"/>
      <c r="C7" s="389" t="s">
        <v>2</v>
      </c>
      <c r="D7" s="389"/>
      <c r="E7" s="401">
        <f>+'Ex. 5 Calcs-City'!E4</f>
        <v>72000000</v>
      </c>
      <c r="F7" s="401"/>
      <c r="G7" s="393"/>
      <c r="H7" s="392" t="str">
        <f>+D8</f>
        <v>Other financing source - sale of capital building</v>
      </c>
      <c r="I7" s="401"/>
      <c r="J7" s="401">
        <f>+F8</f>
        <v>72000000</v>
      </c>
      <c r="K7" s="401"/>
      <c r="L7" s="393"/>
      <c r="M7" s="404" t="str">
        <f>+C7</f>
        <v>Cash</v>
      </c>
      <c r="N7" s="404"/>
      <c r="O7" s="401">
        <f>+E7</f>
        <v>72000000</v>
      </c>
      <c r="P7" s="401"/>
      <c r="Q7" s="393"/>
    </row>
    <row r="8" spans="1:17" x14ac:dyDescent="0.25">
      <c r="B8" s="401"/>
      <c r="C8" s="389"/>
      <c r="D8" s="389" t="s">
        <v>516</v>
      </c>
      <c r="E8" s="401"/>
      <c r="F8" s="401">
        <f>+E7</f>
        <v>72000000</v>
      </c>
      <c r="G8" s="393"/>
      <c r="H8" s="392" t="s">
        <v>805</v>
      </c>
      <c r="I8" s="401"/>
      <c r="J8" s="401">
        <f>+'Example 5 Assumptions Summary '!D10</f>
        <v>38000000</v>
      </c>
      <c r="K8" s="401"/>
      <c r="L8" s="393"/>
      <c r="M8" s="403" t="str">
        <f>+H8</f>
        <v>Accumulated depreciation - capital building</v>
      </c>
      <c r="O8" s="401">
        <f>+J8</f>
        <v>38000000</v>
      </c>
      <c r="P8" s="389"/>
      <c r="Q8" s="393"/>
    </row>
    <row r="9" spans="1:17" x14ac:dyDescent="0.25">
      <c r="B9" s="401"/>
      <c r="C9" s="406" t="s">
        <v>806</v>
      </c>
      <c r="D9" s="389"/>
      <c r="E9" s="401"/>
      <c r="F9" s="401"/>
      <c r="G9" s="393"/>
      <c r="H9" s="392"/>
      <c r="I9" s="424" t="s">
        <v>488</v>
      </c>
      <c r="J9" s="401"/>
      <c r="K9" s="401">
        <f>+'Example 5 Assumptions Summary '!D9</f>
        <v>50000000</v>
      </c>
      <c r="L9" s="393"/>
      <c r="M9" s="404"/>
      <c r="N9" s="403" t="str">
        <f>+I9</f>
        <v>Capital Building</v>
      </c>
      <c r="O9" s="401"/>
      <c r="P9" s="401">
        <f>+K9</f>
        <v>50000000</v>
      </c>
      <c r="Q9" s="393"/>
    </row>
    <row r="10" spans="1:17" x14ac:dyDescent="0.25">
      <c r="B10" s="401"/>
      <c r="C10" s="406" t="s">
        <v>807</v>
      </c>
      <c r="D10" s="389"/>
      <c r="E10" s="401"/>
      <c r="F10" s="401"/>
      <c r="G10" s="393"/>
      <c r="H10" s="392"/>
      <c r="I10" s="424" t="s">
        <v>845</v>
      </c>
      <c r="J10" s="401"/>
      <c r="K10" s="401">
        <f>+'Ex. 5 Calcs-City'!E6</f>
        <v>60000000</v>
      </c>
      <c r="L10" s="393"/>
      <c r="M10" s="404"/>
      <c r="N10" s="403" t="str">
        <f>+I10</f>
        <v>Deferred inflow of resources - sale of Capital Building</v>
      </c>
      <c r="O10" s="401"/>
      <c r="P10" s="401">
        <f>+K10</f>
        <v>60000000</v>
      </c>
      <c r="Q10" s="393"/>
    </row>
    <row r="11" spans="1:17" x14ac:dyDescent="0.25">
      <c r="B11" s="401"/>
      <c r="C11" s="392"/>
      <c r="D11" s="401"/>
      <c r="E11" s="401"/>
      <c r="F11" s="401"/>
      <c r="G11" s="393"/>
      <c r="I11" s="404"/>
      <c r="J11" s="401"/>
      <c r="K11" s="401"/>
      <c r="L11" s="393"/>
      <c r="M11" s="406" t="s">
        <v>509</v>
      </c>
      <c r="N11" s="404"/>
      <c r="O11" s="401"/>
      <c r="P11" s="401"/>
      <c r="Q11" s="393"/>
    </row>
    <row r="12" spans="1:17" x14ac:dyDescent="0.25">
      <c r="B12" s="401"/>
      <c r="C12" s="392"/>
      <c r="D12" s="401"/>
      <c r="E12" s="401"/>
      <c r="F12" s="401"/>
      <c r="G12" s="393"/>
      <c r="I12" s="404"/>
      <c r="J12" s="401"/>
      <c r="K12" s="401"/>
      <c r="L12" s="393"/>
      <c r="M12" s="404"/>
      <c r="N12" s="404"/>
      <c r="O12" s="401"/>
      <c r="P12" s="401"/>
      <c r="Q12" s="393"/>
    </row>
    <row r="13" spans="1:17" x14ac:dyDescent="0.25">
      <c r="B13" s="401"/>
      <c r="C13" s="392"/>
      <c r="D13" s="401"/>
      <c r="E13" s="401"/>
      <c r="F13" s="401"/>
      <c r="G13" s="393"/>
      <c r="I13" s="404"/>
      <c r="J13" s="401"/>
      <c r="K13" s="401"/>
      <c r="L13" s="393"/>
      <c r="M13" s="404"/>
      <c r="N13" s="404"/>
      <c r="O13" s="401"/>
      <c r="P13" s="401"/>
      <c r="Q13" s="393"/>
    </row>
    <row r="14" spans="1:17" x14ac:dyDescent="0.25">
      <c r="A14" s="391" t="s">
        <v>481</v>
      </c>
      <c r="B14" s="401"/>
      <c r="C14" s="389" t="s">
        <v>2</v>
      </c>
      <c r="D14" s="401"/>
      <c r="E14" s="401">
        <f>+'Ex. 5 Calcs-City'!E8</f>
        <v>18000000</v>
      </c>
      <c r="F14" s="401"/>
      <c r="G14" s="393"/>
      <c r="H14" s="389" t="str">
        <f>+D15</f>
        <v>Other financing source - loan payable proceeds</v>
      </c>
      <c r="I14" s="404"/>
      <c r="J14" s="401">
        <f>+F15</f>
        <v>18000000</v>
      </c>
      <c r="K14" s="401"/>
      <c r="L14" s="393"/>
      <c r="M14" s="404" t="str">
        <f>+C14</f>
        <v>Cash</v>
      </c>
      <c r="N14" s="404"/>
      <c r="O14" s="401">
        <f>+E14</f>
        <v>18000000</v>
      </c>
      <c r="P14" s="401"/>
      <c r="Q14" s="393"/>
    </row>
    <row r="15" spans="1:17" x14ac:dyDescent="0.25">
      <c r="B15" s="401"/>
      <c r="C15" s="389"/>
      <c r="D15" s="389" t="s">
        <v>517</v>
      </c>
      <c r="E15" s="401"/>
      <c r="F15" s="401">
        <f>+E14</f>
        <v>18000000</v>
      </c>
      <c r="G15" s="393"/>
      <c r="H15" s="404"/>
      <c r="I15" s="404" t="s">
        <v>510</v>
      </c>
      <c r="J15" s="401"/>
      <c r="K15" s="401">
        <f>+J14</f>
        <v>18000000</v>
      </c>
      <c r="L15" s="393"/>
      <c r="M15" s="404"/>
      <c r="N15" s="404" t="str">
        <f>+I15</f>
        <v>Loan payable</v>
      </c>
      <c r="O15" s="401"/>
      <c r="P15" s="401">
        <f>+K15</f>
        <v>18000000</v>
      </c>
      <c r="Q15" s="401"/>
    </row>
    <row r="16" spans="1:17" x14ac:dyDescent="0.25">
      <c r="B16" s="401"/>
      <c r="C16" s="406" t="s">
        <v>511</v>
      </c>
      <c r="D16" s="389"/>
      <c r="E16" s="401"/>
      <c r="F16" s="401"/>
      <c r="G16" s="393"/>
      <c r="H16" s="404"/>
      <c r="I16" s="404"/>
      <c r="J16" s="389"/>
      <c r="K16" s="403"/>
      <c r="L16" s="393"/>
      <c r="M16" s="405" t="s">
        <v>512</v>
      </c>
      <c r="N16" s="404"/>
      <c r="O16" s="401"/>
      <c r="P16" s="401"/>
      <c r="Q16" s="401"/>
    </row>
    <row r="17" spans="1:17" x14ac:dyDescent="0.25">
      <c r="B17" s="401"/>
      <c r="C17" s="406"/>
      <c r="D17" s="389"/>
      <c r="E17" s="401"/>
      <c r="F17" s="401"/>
      <c r="G17" s="393"/>
      <c r="H17" s="404"/>
      <c r="I17" s="404"/>
      <c r="J17" s="389"/>
      <c r="K17" s="403"/>
      <c r="L17" s="393"/>
      <c r="M17" s="405"/>
      <c r="N17" s="404"/>
      <c r="O17" s="401"/>
      <c r="P17" s="401"/>
      <c r="Q17" s="401"/>
    </row>
    <row r="18" spans="1:17" x14ac:dyDescent="0.25">
      <c r="B18" s="401"/>
      <c r="C18" s="406"/>
      <c r="D18" s="389"/>
      <c r="E18" s="401"/>
      <c r="F18" s="401"/>
      <c r="G18" s="393"/>
      <c r="J18" s="389"/>
      <c r="K18" s="403"/>
      <c r="L18" s="393"/>
      <c r="M18" s="405"/>
      <c r="N18" s="404"/>
      <c r="O18" s="401"/>
      <c r="P18" s="401"/>
      <c r="Q18" s="401"/>
    </row>
    <row r="19" spans="1:17" x14ac:dyDescent="0.25">
      <c r="A19" s="391" t="s">
        <v>490</v>
      </c>
      <c r="B19" s="401"/>
      <c r="C19" s="389" t="s">
        <v>515</v>
      </c>
      <c r="D19" s="389"/>
      <c r="E19" s="401">
        <f>ROUND(+'Ex. 5 Calcs-City'!F17,0)</f>
        <v>72000000</v>
      </c>
      <c r="F19" s="401"/>
      <c r="G19" s="393"/>
      <c r="H19" s="389" t="s">
        <v>808</v>
      </c>
      <c r="J19" s="402">
        <f>+K22</f>
        <v>72000000</v>
      </c>
      <c r="K19" s="403"/>
      <c r="L19" s="393"/>
      <c r="M19" s="404" t="str">
        <f>+H19</f>
        <v>Lease asset - capital building</v>
      </c>
      <c r="N19" s="404"/>
      <c r="O19" s="401">
        <f>+J19</f>
        <v>72000000</v>
      </c>
      <c r="P19" s="401"/>
      <c r="Q19" s="401"/>
    </row>
    <row r="20" spans="1:17" x14ac:dyDescent="0.25">
      <c r="B20" s="401"/>
      <c r="C20" s="389"/>
      <c r="D20" s="389" t="s">
        <v>518</v>
      </c>
      <c r="E20" s="401"/>
      <c r="F20" s="401">
        <f>+E19</f>
        <v>72000000</v>
      </c>
      <c r="G20" s="393"/>
      <c r="H20" s="389" t="str">
        <f>+D20</f>
        <v>Other financing source - lease payable</v>
      </c>
      <c r="J20" s="402">
        <f>+F20</f>
        <v>72000000</v>
      </c>
      <c r="K20" s="403"/>
      <c r="L20" s="393"/>
      <c r="M20" s="405"/>
      <c r="N20" s="404" t="str">
        <f>+I21</f>
        <v>Lease liability</v>
      </c>
      <c r="O20" s="401"/>
      <c r="P20" s="401">
        <f>+K21</f>
        <v>72000000</v>
      </c>
      <c r="Q20" s="401"/>
    </row>
    <row r="21" spans="1:17" x14ac:dyDescent="0.25">
      <c r="B21" s="401"/>
      <c r="C21" s="406" t="s">
        <v>519</v>
      </c>
      <c r="D21" s="389"/>
      <c r="E21" s="401"/>
      <c r="F21" s="401"/>
      <c r="G21" s="393"/>
      <c r="H21" s="404"/>
      <c r="I21" s="389" t="s">
        <v>71</v>
      </c>
      <c r="J21" s="389"/>
      <c r="K21" s="403">
        <f>+J20</f>
        <v>72000000</v>
      </c>
      <c r="L21" s="393"/>
      <c r="M21" s="406" t="s">
        <v>519</v>
      </c>
      <c r="N21" s="404"/>
      <c r="O21" s="401"/>
      <c r="P21" s="401"/>
      <c r="Q21" s="401"/>
    </row>
    <row r="22" spans="1:17" x14ac:dyDescent="0.25">
      <c r="B22" s="401"/>
      <c r="C22" s="406"/>
      <c r="D22" s="389"/>
      <c r="E22" s="401"/>
      <c r="F22" s="401"/>
      <c r="G22" s="393"/>
      <c r="H22" s="404"/>
      <c r="I22" s="404" t="str">
        <f>+C19</f>
        <v>Capital outlay - lease of capital building</v>
      </c>
      <c r="J22" s="389"/>
      <c r="K22" s="403">
        <f>+E19</f>
        <v>72000000</v>
      </c>
      <c r="L22" s="393"/>
      <c r="M22" s="405"/>
      <c r="N22" s="404"/>
      <c r="O22" s="401"/>
      <c r="P22" s="401"/>
      <c r="Q22" s="401"/>
    </row>
    <row r="23" spans="1:17" x14ac:dyDescent="0.25">
      <c r="B23" s="401"/>
      <c r="C23" s="406"/>
      <c r="D23" s="389"/>
      <c r="E23" s="401"/>
      <c r="F23" s="401"/>
      <c r="G23" s="393"/>
      <c r="H23" s="404"/>
      <c r="I23" s="404"/>
      <c r="J23" s="401"/>
      <c r="K23" s="401"/>
      <c r="L23" s="393"/>
      <c r="M23" s="405"/>
      <c r="N23" s="404"/>
      <c r="O23" s="401"/>
      <c r="P23" s="401"/>
      <c r="Q23" s="401"/>
    </row>
    <row r="24" spans="1:17" x14ac:dyDescent="0.25">
      <c r="A24" s="389"/>
      <c r="B24" s="401"/>
      <c r="C24" s="406"/>
      <c r="D24" s="389"/>
      <c r="E24" s="401"/>
      <c r="F24" s="401"/>
      <c r="G24" s="393"/>
      <c r="H24" s="404"/>
      <c r="I24" s="404"/>
      <c r="J24" s="401"/>
      <c r="K24" s="401"/>
      <c r="L24" s="393"/>
      <c r="M24" s="405"/>
      <c r="N24" s="404"/>
      <c r="O24" s="401"/>
      <c r="P24" s="401"/>
      <c r="Q24" s="401"/>
    </row>
    <row r="25" spans="1:17" x14ac:dyDescent="0.25">
      <c r="A25" s="400" t="s">
        <v>103</v>
      </c>
      <c r="B25" s="401"/>
      <c r="C25" s="406"/>
      <c r="D25" s="389" t="s">
        <v>36</v>
      </c>
      <c r="E25" s="401"/>
      <c r="F25" s="401"/>
      <c r="G25" s="393"/>
      <c r="H25" s="404" t="s">
        <v>3</v>
      </c>
      <c r="I25" s="404"/>
      <c r="J25" s="401">
        <f>ROUND(+'Ex. 5 Calcs-City'!E25/2,0)</f>
        <v>2727321</v>
      </c>
      <c r="K25" s="401"/>
      <c r="L25" s="393"/>
      <c r="M25" s="404" t="str">
        <f t="shared" ref="M25:M27" si="0">H25</f>
        <v>Interest expense</v>
      </c>
      <c r="N25" s="404"/>
      <c r="O25" s="401">
        <f t="shared" ref="O25" si="1">J25</f>
        <v>2727321</v>
      </c>
      <c r="P25" s="401"/>
      <c r="Q25" s="401"/>
    </row>
    <row r="26" spans="1:17" x14ac:dyDescent="0.25">
      <c r="B26" s="401"/>
      <c r="C26" s="406"/>
      <c r="D26" s="389"/>
      <c r="E26" s="401"/>
      <c r="F26" s="401"/>
      <c r="G26" s="393"/>
      <c r="H26" s="404"/>
      <c r="I26" s="404" t="s">
        <v>513</v>
      </c>
      <c r="J26" s="401"/>
      <c r="K26" s="401">
        <f>+J25</f>
        <v>2727321</v>
      </c>
      <c r="L26" s="393"/>
      <c r="M26" s="405"/>
      <c r="N26" s="404" t="str">
        <f t="shared" ref="N26" si="2">I26</f>
        <v>Lease interest payable</v>
      </c>
      <c r="O26" s="401"/>
      <c r="P26" s="401">
        <f t="shared" ref="P26" si="3">K26</f>
        <v>2727321</v>
      </c>
      <c r="Q26" s="401"/>
    </row>
    <row r="27" spans="1:17" x14ac:dyDescent="0.25">
      <c r="A27" s="389"/>
      <c r="B27" s="401"/>
      <c r="C27" s="406"/>
      <c r="D27" s="389"/>
      <c r="E27" s="401"/>
      <c r="F27" s="401"/>
      <c r="G27" s="393"/>
      <c r="H27" s="406" t="s">
        <v>810</v>
      </c>
      <c r="J27" s="401"/>
      <c r="K27" s="401"/>
      <c r="L27" s="393"/>
      <c r="M27" s="405" t="str">
        <f t="shared" si="0"/>
        <v>[To record accrual of 6 months of lease interest payable at FYE]</v>
      </c>
      <c r="N27" s="404"/>
      <c r="O27" s="401"/>
      <c r="P27" s="401"/>
      <c r="Q27" s="401"/>
    </row>
    <row r="28" spans="1:17" x14ac:dyDescent="0.25">
      <c r="B28" s="401"/>
      <c r="C28" s="406"/>
      <c r="D28" s="401"/>
      <c r="E28" s="401"/>
      <c r="F28" s="401"/>
      <c r="G28" s="393"/>
      <c r="H28" s="406"/>
      <c r="I28" s="404"/>
      <c r="J28" s="401"/>
      <c r="K28" s="401"/>
      <c r="L28" s="393"/>
      <c r="M28" s="405"/>
      <c r="N28" s="404"/>
      <c r="O28" s="404"/>
      <c r="P28" s="401"/>
      <c r="Q28" s="401"/>
    </row>
    <row r="29" spans="1:17" x14ac:dyDescent="0.25">
      <c r="B29" s="401"/>
      <c r="C29" s="406"/>
      <c r="D29" s="401"/>
      <c r="E29" s="401"/>
      <c r="F29" s="401"/>
      <c r="G29" s="393"/>
      <c r="H29" s="406"/>
      <c r="I29" s="404"/>
      <c r="J29" s="401"/>
      <c r="K29" s="401"/>
      <c r="L29" s="393"/>
      <c r="M29" s="405"/>
      <c r="N29" s="404"/>
      <c r="O29" s="404"/>
      <c r="P29" s="401"/>
      <c r="Q29" s="401"/>
    </row>
    <row r="30" spans="1:17" x14ac:dyDescent="0.25">
      <c r="A30" s="391" t="s">
        <v>104</v>
      </c>
      <c r="B30" s="401"/>
      <c r="C30" s="389"/>
      <c r="D30" s="389" t="s">
        <v>36</v>
      </c>
      <c r="E30" s="389"/>
      <c r="F30" s="389"/>
      <c r="G30" s="393"/>
      <c r="H30" s="404" t="s">
        <v>3</v>
      </c>
      <c r="I30" s="424"/>
      <c r="J30" s="401">
        <f>ROUND(+'Ex. 5 Calcs-City'!J25/2,0)</f>
        <v>681830</v>
      </c>
      <c r="K30" s="401"/>
      <c r="L30" s="393"/>
      <c r="M30" s="404" t="str">
        <f t="shared" ref="M30:P32" si="4">H30</f>
        <v>Interest expense</v>
      </c>
      <c r="N30" s="404"/>
      <c r="O30" s="401">
        <f t="shared" si="4"/>
        <v>681830</v>
      </c>
      <c r="P30" s="401"/>
      <c r="Q30" s="401"/>
    </row>
    <row r="31" spans="1:17" x14ac:dyDescent="0.25">
      <c r="B31" s="401"/>
      <c r="C31" s="389"/>
      <c r="D31" s="389"/>
      <c r="E31" s="389"/>
      <c r="F31" s="389"/>
      <c r="G31" s="393"/>
      <c r="H31" s="406"/>
      <c r="I31" s="424" t="s">
        <v>514</v>
      </c>
      <c r="J31" s="401"/>
      <c r="K31" s="401">
        <f>+J30</f>
        <v>681830</v>
      </c>
      <c r="L31" s="393"/>
      <c r="M31" s="405"/>
      <c r="N31" s="404" t="str">
        <f t="shared" si="4"/>
        <v>Loan interest payable</v>
      </c>
      <c r="O31" s="401"/>
      <c r="P31" s="401">
        <f t="shared" si="4"/>
        <v>681830</v>
      </c>
      <c r="Q31" s="401"/>
    </row>
    <row r="32" spans="1:17" x14ac:dyDescent="0.25">
      <c r="B32" s="401"/>
      <c r="C32" s="389"/>
      <c r="D32" s="389"/>
      <c r="E32" s="389"/>
      <c r="F32" s="389"/>
      <c r="G32" s="393"/>
      <c r="H32" s="406" t="s">
        <v>811</v>
      </c>
      <c r="I32" s="424"/>
      <c r="J32" s="401"/>
      <c r="K32" s="401"/>
      <c r="L32" s="393"/>
      <c r="M32" s="405" t="str">
        <f t="shared" si="4"/>
        <v>[To record accrual of 6 months of loan interest payable at FYE]</v>
      </c>
      <c r="N32" s="404"/>
      <c r="O32" s="401"/>
      <c r="P32" s="401"/>
      <c r="Q32" s="401"/>
    </row>
    <row r="33" spans="1:17" x14ac:dyDescent="0.25">
      <c r="B33" s="401"/>
      <c r="C33" s="389"/>
      <c r="D33" s="401"/>
      <c r="E33" s="401"/>
      <c r="F33" s="401"/>
      <c r="G33" s="393"/>
      <c r="J33" s="389"/>
      <c r="K33" s="401"/>
      <c r="L33" s="393"/>
      <c r="M33" s="404"/>
      <c r="N33" s="404"/>
      <c r="O33" s="401"/>
      <c r="P33" s="401"/>
      <c r="Q33" s="401"/>
    </row>
    <row r="34" spans="1:17" x14ac:dyDescent="0.25">
      <c r="B34" s="401"/>
      <c r="C34" s="406"/>
      <c r="D34" s="401"/>
      <c r="E34" s="401"/>
      <c r="F34" s="401"/>
      <c r="G34" s="393"/>
      <c r="H34" s="406"/>
      <c r="I34" s="404"/>
      <c r="J34" s="401"/>
      <c r="K34" s="401"/>
      <c r="L34" s="393"/>
      <c r="M34" s="405"/>
      <c r="N34" s="404"/>
      <c r="O34" s="401"/>
      <c r="P34" s="401"/>
      <c r="Q34" s="401"/>
    </row>
    <row r="35" spans="1:17" x14ac:dyDescent="0.25">
      <c r="A35" s="391" t="s">
        <v>105</v>
      </c>
      <c r="B35" s="401"/>
      <c r="C35" s="406"/>
      <c r="D35" s="389" t="s">
        <v>36</v>
      </c>
      <c r="E35" s="401"/>
      <c r="F35" s="401"/>
      <c r="G35" s="393"/>
      <c r="H35" s="389" t="s">
        <v>523</v>
      </c>
      <c r="I35" s="404"/>
      <c r="J35" s="401">
        <f>+'Ex. 5 Calcs-City'!R24</f>
        <v>600000</v>
      </c>
      <c r="K35" s="401"/>
      <c r="L35" s="393"/>
      <c r="M35" s="405" t="str">
        <f t="shared" ref="M35:P38" si="5">H35</f>
        <v>Deferred inflow of resources from sale of capital building</v>
      </c>
      <c r="N35" s="404"/>
      <c r="O35" s="401">
        <f t="shared" si="5"/>
        <v>600000</v>
      </c>
      <c r="P35" s="401"/>
      <c r="Q35" s="401"/>
    </row>
    <row r="36" spans="1:17" x14ac:dyDescent="0.25">
      <c r="B36" s="401"/>
      <c r="C36" s="406"/>
      <c r="D36" s="401"/>
      <c r="E36" s="401"/>
      <c r="F36" s="401"/>
      <c r="G36" s="393"/>
      <c r="H36" s="406"/>
      <c r="I36" s="404" t="s">
        <v>524</v>
      </c>
      <c r="J36" s="401"/>
      <c r="K36" s="401">
        <f>+J35</f>
        <v>600000</v>
      </c>
      <c r="L36" s="393"/>
      <c r="M36" s="405"/>
      <c r="N36" s="404" t="str">
        <f t="shared" si="5"/>
        <v>Gain on sale of capital building</v>
      </c>
      <c r="O36" s="401"/>
      <c r="P36" s="401">
        <f t="shared" si="5"/>
        <v>600000</v>
      </c>
      <c r="Q36" s="401"/>
    </row>
    <row r="37" spans="1:17" x14ac:dyDescent="0.25">
      <c r="B37" s="401"/>
      <c r="C37" s="406"/>
      <c r="D37" s="401"/>
      <c r="E37" s="401"/>
      <c r="F37" s="401"/>
      <c r="G37" s="393"/>
      <c r="H37" s="406" t="s">
        <v>812</v>
      </c>
      <c r="I37" s="404"/>
      <c r="J37" s="401"/>
      <c r="K37" s="401"/>
      <c r="L37" s="393"/>
      <c r="M37" s="405" t="str">
        <f t="shared" si="5"/>
        <v xml:space="preserve">[To amortize deferred inflow of resources from gain on sale of </v>
      </c>
      <c r="N37" s="404"/>
      <c r="O37" s="401"/>
      <c r="P37" s="401"/>
      <c r="Q37" s="401"/>
    </row>
    <row r="38" spans="1:17" x14ac:dyDescent="0.25">
      <c r="B38" s="401"/>
      <c r="C38" s="406"/>
      <c r="D38" s="401"/>
      <c r="E38" s="401"/>
      <c r="F38" s="401"/>
      <c r="G38" s="393"/>
      <c r="H38" s="406" t="s">
        <v>526</v>
      </c>
      <c r="I38" s="404"/>
      <c r="J38" s="401"/>
      <c r="K38" s="401"/>
      <c r="L38" s="393"/>
      <c r="M38" s="405" t="str">
        <f t="shared" si="5"/>
        <v>capital building]</v>
      </c>
      <c r="N38" s="404"/>
      <c r="O38" s="401"/>
      <c r="P38" s="401"/>
      <c r="Q38" s="401"/>
    </row>
    <row r="39" spans="1:17" x14ac:dyDescent="0.25">
      <c r="B39" s="401"/>
      <c r="C39" s="406"/>
      <c r="D39" s="401"/>
      <c r="E39" s="401"/>
      <c r="F39" s="401"/>
      <c r="G39" s="393"/>
      <c r="H39" s="406"/>
      <c r="I39" s="404"/>
      <c r="J39" s="401"/>
      <c r="K39" s="401"/>
      <c r="L39" s="393"/>
      <c r="M39" s="405"/>
      <c r="N39" s="404"/>
      <c r="O39" s="401"/>
      <c r="P39" s="401"/>
      <c r="Q39" s="401"/>
    </row>
    <row r="40" spans="1:17" x14ac:dyDescent="0.25">
      <c r="B40" s="401"/>
      <c r="C40" s="406"/>
      <c r="D40" s="401"/>
      <c r="E40" s="401"/>
      <c r="F40" s="401"/>
      <c r="G40" s="393"/>
      <c r="H40" s="406"/>
      <c r="I40" s="404"/>
      <c r="J40" s="401"/>
      <c r="K40" s="401"/>
      <c r="L40" s="393"/>
      <c r="M40" s="405"/>
      <c r="N40" s="404"/>
      <c r="O40" s="401"/>
      <c r="P40" s="401"/>
      <c r="Q40" s="401"/>
    </row>
    <row r="41" spans="1:17" x14ac:dyDescent="0.25">
      <c r="A41" s="400" t="s">
        <v>527</v>
      </c>
      <c r="B41" s="401"/>
      <c r="C41" s="406"/>
      <c r="D41" s="389" t="s">
        <v>36</v>
      </c>
      <c r="E41" s="401"/>
      <c r="F41" s="401"/>
      <c r="G41" s="393"/>
      <c r="H41" s="389" t="s">
        <v>632</v>
      </c>
      <c r="I41" s="404"/>
      <c r="J41" s="401">
        <f>+K42</f>
        <v>720000</v>
      </c>
      <c r="K41" s="401"/>
      <c r="L41" s="393"/>
      <c r="M41" s="405" t="str">
        <f t="shared" ref="M41:P43" si="6">H41</f>
        <v>Amortization expense</v>
      </c>
      <c r="N41" s="404"/>
      <c r="O41" s="401">
        <f t="shared" si="6"/>
        <v>720000</v>
      </c>
      <c r="P41" s="401"/>
      <c r="Q41" s="401"/>
    </row>
    <row r="42" spans="1:17" x14ac:dyDescent="0.25">
      <c r="B42" s="401"/>
      <c r="C42" s="406"/>
      <c r="D42" s="401"/>
      <c r="E42" s="401"/>
      <c r="F42" s="401"/>
      <c r="G42" s="393"/>
      <c r="H42" s="406"/>
      <c r="I42" s="404" t="s">
        <v>809</v>
      </c>
      <c r="J42" s="401"/>
      <c r="K42" s="401">
        <f>ROUND('Ex. 5 Calcs-City'!O24,0)</f>
        <v>720000</v>
      </c>
      <c r="L42" s="393"/>
      <c r="M42" s="405"/>
      <c r="N42" s="404" t="str">
        <f t="shared" si="6"/>
        <v>Accumulated amortization - lease asset - capital building</v>
      </c>
      <c r="O42" s="401"/>
      <c r="P42" s="401">
        <f t="shared" si="6"/>
        <v>720000</v>
      </c>
      <c r="Q42" s="401"/>
    </row>
    <row r="43" spans="1:17" x14ac:dyDescent="0.25">
      <c r="B43" s="401"/>
      <c r="C43" s="389"/>
      <c r="D43" s="401"/>
      <c r="E43" s="401"/>
      <c r="F43" s="401"/>
      <c r="G43" s="393"/>
      <c r="H43" s="406" t="s">
        <v>652</v>
      </c>
      <c r="J43" s="401"/>
      <c r="K43" s="401"/>
      <c r="L43" s="393"/>
      <c r="M43" s="405" t="str">
        <f t="shared" si="6"/>
        <v>[To record amortization of lease asset]</v>
      </c>
      <c r="N43" s="404"/>
      <c r="O43" s="401"/>
      <c r="P43" s="401"/>
      <c r="Q43" s="401"/>
    </row>
    <row r="44" spans="1:17" x14ac:dyDescent="0.25">
      <c r="B44" s="401"/>
      <c r="C44" s="389"/>
      <c r="D44" s="401"/>
      <c r="E44" s="409"/>
      <c r="F44" s="409"/>
      <c r="G44" s="393"/>
      <c r="H44" s="405"/>
      <c r="I44" s="404"/>
      <c r="J44" s="401"/>
      <c r="K44" s="401"/>
      <c r="L44" s="393"/>
      <c r="M44" s="405"/>
      <c r="N44" s="404"/>
      <c r="O44" s="401"/>
      <c r="P44" s="401"/>
      <c r="Q44" s="401"/>
    </row>
    <row r="45" spans="1:17" x14ac:dyDescent="0.25">
      <c r="B45" s="401"/>
      <c r="C45" s="389"/>
      <c r="D45" s="401"/>
      <c r="E45" s="409"/>
      <c r="F45" s="409"/>
      <c r="G45" s="393"/>
      <c r="H45" s="405"/>
      <c r="I45" s="404"/>
      <c r="J45" s="401"/>
      <c r="K45" s="401"/>
      <c r="L45" s="393"/>
      <c r="M45" s="405"/>
      <c r="N45" s="404"/>
      <c r="O45" s="401"/>
      <c r="P45" s="401"/>
      <c r="Q45" s="401"/>
    </row>
    <row r="46" spans="1:17" x14ac:dyDescent="0.25">
      <c r="A46" s="398" t="s">
        <v>107</v>
      </c>
      <c r="B46" s="401"/>
      <c r="C46" s="389"/>
      <c r="D46" s="389"/>
      <c r="E46" s="409"/>
      <c r="F46" s="409"/>
      <c r="G46" s="393"/>
      <c r="I46" s="401"/>
      <c r="J46" s="401"/>
      <c r="K46" s="401"/>
      <c r="L46" s="393"/>
      <c r="M46" s="405"/>
      <c r="N46" s="404"/>
      <c r="O46" s="401"/>
      <c r="P46" s="401"/>
      <c r="Q46" s="401"/>
    </row>
    <row r="47" spans="1:17" x14ac:dyDescent="0.25">
      <c r="A47" s="427">
        <v>44561</v>
      </c>
      <c r="B47" s="401"/>
      <c r="C47" s="389" t="s">
        <v>528</v>
      </c>
      <c r="D47" s="389"/>
      <c r="E47" s="409">
        <f>+'Ex. 5 Calcs-City'!F25</f>
        <v>145358</v>
      </c>
      <c r="F47" s="409"/>
      <c r="G47" s="393"/>
      <c r="H47" s="389" t="s">
        <v>71</v>
      </c>
      <c r="J47" s="402">
        <f>+K51</f>
        <v>145358</v>
      </c>
      <c r="K47" s="401"/>
      <c r="L47" s="393"/>
      <c r="M47" s="404" t="str">
        <f>+H47</f>
        <v>Lease liability</v>
      </c>
      <c r="N47" s="404"/>
      <c r="O47" s="401">
        <f>+J47</f>
        <v>145358</v>
      </c>
      <c r="P47" s="401"/>
      <c r="Q47" s="401"/>
    </row>
    <row r="48" spans="1:17" x14ac:dyDescent="0.25">
      <c r="A48" s="389"/>
      <c r="B48" s="401"/>
      <c r="C48" s="389" t="s">
        <v>529</v>
      </c>
      <c r="D48" s="389"/>
      <c r="E48" s="409">
        <f>+'Ex. 5 Calcs-City'!K25</f>
        <v>36339.999999999767</v>
      </c>
      <c r="F48" s="409"/>
      <c r="G48" s="393"/>
      <c r="H48" s="389" t="s">
        <v>510</v>
      </c>
      <c r="J48" s="402">
        <f>+K52</f>
        <v>36339.999999999767</v>
      </c>
      <c r="K48" s="401"/>
      <c r="L48" s="393"/>
      <c r="M48" s="404" t="str">
        <f t="shared" ref="M48:M50" si="7">+H48</f>
        <v>Loan payable</v>
      </c>
      <c r="N48" s="404"/>
      <c r="O48" s="401">
        <f t="shared" ref="O48:O50" si="8">+J48</f>
        <v>36339.999999999767</v>
      </c>
      <c r="P48" s="401"/>
      <c r="Q48" s="401"/>
    </row>
    <row r="49" spans="1:17" x14ac:dyDescent="0.25">
      <c r="B49" s="401"/>
      <c r="C49" s="389" t="s">
        <v>3</v>
      </c>
      <c r="D49" s="389"/>
      <c r="E49" s="409">
        <f>+'Ex. 5 Calcs-City'!E25+'Ex. 5 Calcs-City'!J25</f>
        <v>6818302</v>
      </c>
      <c r="F49" s="409"/>
      <c r="G49" s="393"/>
      <c r="H49" s="389" t="s">
        <v>513</v>
      </c>
      <c r="I49" s="401"/>
      <c r="J49" s="401">
        <f>+K26</f>
        <v>2727321</v>
      </c>
      <c r="K49" s="389"/>
      <c r="L49" s="393"/>
      <c r="M49" s="404" t="str">
        <f t="shared" si="7"/>
        <v>Lease interest payable</v>
      </c>
      <c r="N49" s="404"/>
      <c r="O49" s="401">
        <f t="shared" si="8"/>
        <v>2727321</v>
      </c>
      <c r="P49" s="401"/>
      <c r="Q49" s="401"/>
    </row>
    <row r="50" spans="1:17" x14ac:dyDescent="0.25">
      <c r="B50" s="401"/>
      <c r="C50" s="389"/>
      <c r="D50" s="389" t="s">
        <v>2</v>
      </c>
      <c r="E50" s="409"/>
      <c r="F50" s="409">
        <f>+'Ex. 5 Calcs-City'!D25+'Ex. 5 Calcs-City'!I25</f>
        <v>7000000</v>
      </c>
      <c r="G50" s="393"/>
      <c r="H50" s="389" t="s">
        <v>514</v>
      </c>
      <c r="J50" s="401">
        <f>+K31</f>
        <v>681830</v>
      </c>
      <c r="K50" s="389"/>
      <c r="L50" s="393"/>
      <c r="M50" s="404" t="str">
        <f t="shared" si="7"/>
        <v>Loan interest payable</v>
      </c>
      <c r="N50" s="404"/>
      <c r="O50" s="401">
        <f t="shared" si="8"/>
        <v>681830</v>
      </c>
      <c r="P50" s="401"/>
      <c r="Q50" s="401"/>
    </row>
    <row r="51" spans="1:17" x14ac:dyDescent="0.25">
      <c r="B51" s="401"/>
      <c r="C51" s="406" t="s">
        <v>530</v>
      </c>
      <c r="D51" s="389"/>
      <c r="E51" s="409"/>
      <c r="F51" s="409"/>
      <c r="G51" s="393"/>
      <c r="I51" s="389" t="str">
        <f>+C47</f>
        <v>Debt service - lease liability</v>
      </c>
      <c r="J51" s="389"/>
      <c r="K51" s="402">
        <f>+E47</f>
        <v>145358</v>
      </c>
      <c r="L51" s="393"/>
      <c r="M51" s="389" t="str">
        <f>+C49</f>
        <v>Interest expense</v>
      </c>
      <c r="O51" s="401">
        <f>+E49-K53</f>
        <v>3409151</v>
      </c>
      <c r="P51" s="401"/>
      <c r="Q51" s="401"/>
    </row>
    <row r="52" spans="1:17" x14ac:dyDescent="0.25">
      <c r="B52" s="401"/>
      <c r="C52" s="406" t="s">
        <v>531</v>
      </c>
      <c r="D52" s="389"/>
      <c r="E52" s="409"/>
      <c r="F52" s="409"/>
      <c r="G52" s="393"/>
      <c r="H52" s="406"/>
      <c r="I52" s="389" t="str">
        <f>+C48</f>
        <v>Debt service - loan payable</v>
      </c>
      <c r="J52" s="401"/>
      <c r="K52" s="401">
        <f>+E48</f>
        <v>36339.999999999767</v>
      </c>
      <c r="L52" s="393"/>
      <c r="M52" s="405"/>
      <c r="N52" s="404" t="str">
        <f>+D50</f>
        <v>Cash</v>
      </c>
      <c r="O52" s="401"/>
      <c r="P52" s="401">
        <f>+F50</f>
        <v>7000000</v>
      </c>
      <c r="Q52" s="401"/>
    </row>
    <row r="53" spans="1:17" x14ac:dyDescent="0.25">
      <c r="B53" s="401"/>
      <c r="C53" s="389"/>
      <c r="D53" s="389"/>
      <c r="E53" s="409"/>
      <c r="F53" s="409"/>
      <c r="G53" s="393"/>
      <c r="H53" s="406"/>
      <c r="I53" s="389" t="s">
        <v>3</v>
      </c>
      <c r="J53" s="401"/>
      <c r="K53" s="401">
        <f>+J49+J50</f>
        <v>3409151</v>
      </c>
      <c r="L53" s="393"/>
      <c r="M53" s="406" t="s">
        <v>530</v>
      </c>
      <c r="N53" s="404"/>
      <c r="O53" s="401"/>
      <c r="P53" s="401"/>
      <c r="Q53" s="401"/>
    </row>
    <row r="54" spans="1:17" x14ac:dyDescent="0.25">
      <c r="E54" s="409"/>
      <c r="F54" s="409"/>
      <c r="M54" s="406" t="s">
        <v>531</v>
      </c>
      <c r="O54" s="401"/>
      <c r="P54" s="401"/>
    </row>
    <row r="55" spans="1:17" ht="13.9" customHeight="1" x14ac:dyDescent="0.25">
      <c r="E55" s="409"/>
      <c r="F55" s="409"/>
      <c r="O55" s="401"/>
      <c r="P55" s="401"/>
    </row>
    <row r="56" spans="1:17" x14ac:dyDescent="0.25">
      <c r="E56" s="409"/>
      <c r="F56" s="409"/>
      <c r="O56" s="401"/>
      <c r="P56" s="401"/>
    </row>
    <row r="57" spans="1:17" x14ac:dyDescent="0.25">
      <c r="A57" s="400" t="s">
        <v>168</v>
      </c>
      <c r="B57" s="401"/>
      <c r="C57" s="406"/>
      <c r="D57" s="389" t="s">
        <v>36</v>
      </c>
      <c r="E57" s="401"/>
      <c r="F57" s="401"/>
      <c r="G57" s="393"/>
      <c r="H57" s="404" t="s">
        <v>3</v>
      </c>
      <c r="I57" s="404"/>
      <c r="J57" s="401">
        <f>ROUND(+'Ex. 5 Calcs-City'!E26/2,0)</f>
        <v>2721815</v>
      </c>
      <c r="K57" s="401"/>
      <c r="L57" s="393"/>
      <c r="M57" s="404" t="str">
        <f t="shared" ref="M57" si="9">H57</f>
        <v>Interest expense</v>
      </c>
      <c r="N57" s="404"/>
      <c r="O57" s="401">
        <f t="shared" ref="O57" si="10">J57</f>
        <v>2721815</v>
      </c>
      <c r="P57" s="401"/>
      <c r="Q57" s="401"/>
    </row>
    <row r="58" spans="1:17" x14ac:dyDescent="0.25">
      <c r="B58" s="401"/>
      <c r="C58" s="406"/>
      <c r="D58" s="389"/>
      <c r="E58" s="401"/>
      <c r="F58" s="401"/>
      <c r="G58" s="393"/>
      <c r="H58" s="404"/>
      <c r="I58" s="404" t="s">
        <v>513</v>
      </c>
      <c r="J58" s="401"/>
      <c r="K58" s="401">
        <f>+J57</f>
        <v>2721815</v>
      </c>
      <c r="L58" s="393"/>
      <c r="M58" s="405"/>
      <c r="N58" s="404" t="str">
        <f t="shared" ref="N58" si="11">I58</f>
        <v>Lease interest payable</v>
      </c>
      <c r="O58" s="401"/>
      <c r="P58" s="401">
        <f t="shared" ref="P58" si="12">K58</f>
        <v>2721815</v>
      </c>
      <c r="Q58" s="401"/>
    </row>
    <row r="59" spans="1:17" x14ac:dyDescent="0.25">
      <c r="A59" s="389"/>
      <c r="B59" s="401"/>
      <c r="C59" s="406"/>
      <c r="D59" s="389"/>
      <c r="E59" s="401"/>
      <c r="F59" s="401"/>
      <c r="G59" s="393"/>
      <c r="H59" s="406" t="s">
        <v>520</v>
      </c>
      <c r="J59" s="401"/>
      <c r="K59" s="401"/>
      <c r="L59" s="393"/>
      <c r="M59" s="405" t="str">
        <f t="shared" ref="M59" si="13">H59</f>
        <v>[To record accrual of 6 months of lease interest expense]</v>
      </c>
      <c r="N59" s="404"/>
      <c r="O59" s="401"/>
      <c r="P59" s="401"/>
      <c r="Q59" s="401"/>
    </row>
    <row r="60" spans="1:17" x14ac:dyDescent="0.25">
      <c r="B60" s="401"/>
      <c r="C60" s="406"/>
      <c r="D60" s="401"/>
      <c r="E60" s="401"/>
      <c r="F60" s="401"/>
      <c r="G60" s="393"/>
      <c r="H60" s="406"/>
      <c r="I60" s="404"/>
      <c r="J60" s="401"/>
      <c r="K60" s="401"/>
      <c r="L60" s="393"/>
      <c r="M60" s="405"/>
      <c r="N60" s="404"/>
      <c r="O60" s="404"/>
      <c r="P60" s="401"/>
      <c r="Q60" s="401"/>
    </row>
    <row r="61" spans="1:17" x14ac:dyDescent="0.25">
      <c r="B61" s="401"/>
      <c r="C61" s="406"/>
      <c r="D61" s="401"/>
      <c r="E61" s="401"/>
      <c r="F61" s="401"/>
      <c r="G61" s="393"/>
      <c r="H61" s="406"/>
      <c r="I61" s="404"/>
      <c r="J61" s="401"/>
      <c r="K61" s="401"/>
      <c r="L61" s="393"/>
      <c r="M61" s="405"/>
      <c r="N61" s="404"/>
      <c r="O61" s="404"/>
      <c r="P61" s="401"/>
      <c r="Q61" s="401"/>
    </row>
    <row r="62" spans="1:17" x14ac:dyDescent="0.25">
      <c r="A62" s="391" t="s">
        <v>167</v>
      </c>
      <c r="B62" s="401"/>
      <c r="C62" s="389"/>
      <c r="D62" s="389" t="s">
        <v>36</v>
      </c>
      <c r="E62" s="389"/>
      <c r="F62" s="389"/>
      <c r="G62" s="393"/>
      <c r="H62" s="404" t="s">
        <v>3</v>
      </c>
      <c r="I62" s="424"/>
      <c r="J62" s="401">
        <f>ROUND(+'Ex. 5 Calcs-City'!J26/2,0)</f>
        <v>680454</v>
      </c>
      <c r="K62" s="401"/>
      <c r="L62" s="393"/>
      <c r="M62" s="404" t="str">
        <f t="shared" ref="M62" si="14">H62</f>
        <v>Interest expense</v>
      </c>
      <c r="N62" s="404"/>
      <c r="O62" s="401">
        <f t="shared" ref="O62" si="15">J62</f>
        <v>680454</v>
      </c>
      <c r="P62" s="401"/>
      <c r="Q62" s="401"/>
    </row>
    <row r="63" spans="1:17" x14ac:dyDescent="0.25">
      <c r="B63" s="401"/>
      <c r="C63" s="389"/>
      <c r="D63" s="389"/>
      <c r="E63" s="389"/>
      <c r="F63" s="389"/>
      <c r="G63" s="393"/>
      <c r="H63" s="406"/>
      <c r="I63" s="424" t="s">
        <v>514</v>
      </c>
      <c r="J63" s="401"/>
      <c r="K63" s="401">
        <f>+J62</f>
        <v>680454</v>
      </c>
      <c r="L63" s="393"/>
      <c r="M63" s="405"/>
      <c r="N63" s="404" t="str">
        <f t="shared" ref="N63" si="16">I63</f>
        <v>Loan interest payable</v>
      </c>
      <c r="O63" s="401"/>
      <c r="P63" s="401">
        <f t="shared" ref="P63" si="17">K63</f>
        <v>680454</v>
      </c>
      <c r="Q63" s="401"/>
    </row>
    <row r="64" spans="1:17" x14ac:dyDescent="0.25">
      <c r="B64" s="401"/>
      <c r="C64" s="389"/>
      <c r="D64" s="389"/>
      <c r="E64" s="389"/>
      <c r="F64" s="389"/>
      <c r="G64" s="393"/>
      <c r="H64" s="406" t="s">
        <v>522</v>
      </c>
      <c r="I64" s="424"/>
      <c r="J64" s="401"/>
      <c r="K64" s="401"/>
      <c r="L64" s="393"/>
      <c r="M64" s="405" t="str">
        <f t="shared" ref="M64" si="18">H64</f>
        <v>[To record accrual of 6 months of loan interest expense]</v>
      </c>
      <c r="N64" s="404"/>
      <c r="O64" s="401"/>
      <c r="P64" s="401"/>
      <c r="Q64" s="401"/>
    </row>
    <row r="65" spans="1:17" x14ac:dyDescent="0.25">
      <c r="B65" s="401"/>
      <c r="C65" s="389"/>
      <c r="D65" s="401"/>
      <c r="E65" s="401"/>
      <c r="F65" s="401"/>
      <c r="G65" s="393"/>
      <c r="J65" s="389"/>
      <c r="K65" s="401"/>
      <c r="L65" s="393"/>
      <c r="M65" s="404"/>
      <c r="N65" s="404"/>
      <c r="O65" s="401"/>
      <c r="P65" s="401"/>
      <c r="Q65" s="401"/>
    </row>
    <row r="66" spans="1:17" x14ac:dyDescent="0.25">
      <c r="B66" s="401"/>
      <c r="C66" s="406"/>
      <c r="D66" s="401"/>
      <c r="E66" s="401"/>
      <c r="F66" s="401"/>
      <c r="G66" s="393"/>
      <c r="H66" s="406"/>
      <c r="I66" s="404"/>
      <c r="J66" s="401"/>
      <c r="K66" s="401"/>
      <c r="L66" s="393"/>
      <c r="M66" s="405"/>
      <c r="N66" s="404"/>
      <c r="O66" s="401"/>
      <c r="P66" s="401"/>
      <c r="Q66" s="401"/>
    </row>
    <row r="67" spans="1:17" x14ac:dyDescent="0.25">
      <c r="A67" s="391" t="s">
        <v>504</v>
      </c>
      <c r="B67" s="401"/>
      <c r="C67" s="406"/>
      <c r="D67" s="389" t="s">
        <v>36</v>
      </c>
      <c r="E67" s="401"/>
      <c r="F67" s="401"/>
      <c r="G67" s="393"/>
      <c r="H67" s="389" t="s">
        <v>523</v>
      </c>
      <c r="I67" s="404"/>
      <c r="J67" s="401">
        <f>+'Ex. 5 Calcs-City'!R25</f>
        <v>1200000</v>
      </c>
      <c r="K67" s="401"/>
      <c r="L67" s="393"/>
      <c r="M67" s="405" t="str">
        <f t="shared" ref="M67" si="19">H67</f>
        <v>Deferred inflow of resources from sale of capital building</v>
      </c>
      <c r="N67" s="404"/>
      <c r="O67" s="401">
        <f t="shared" ref="O67" si="20">J67</f>
        <v>1200000</v>
      </c>
      <c r="P67" s="401"/>
      <c r="Q67" s="401"/>
    </row>
    <row r="68" spans="1:17" x14ac:dyDescent="0.25">
      <c r="B68" s="401"/>
      <c r="C68" s="406"/>
      <c r="D68" s="401"/>
      <c r="E68" s="401"/>
      <c r="F68" s="401"/>
      <c r="G68" s="393"/>
      <c r="H68" s="406"/>
      <c r="I68" s="404" t="s">
        <v>524</v>
      </c>
      <c r="J68" s="401"/>
      <c r="K68" s="401">
        <f>+J67</f>
        <v>1200000</v>
      </c>
      <c r="L68" s="393"/>
      <c r="M68" s="405"/>
      <c r="N68" s="404" t="str">
        <f t="shared" ref="N68" si="21">I68</f>
        <v>Gain on sale of capital building</v>
      </c>
      <c r="O68" s="401"/>
      <c r="P68" s="401">
        <f t="shared" ref="P68" si="22">K68</f>
        <v>1200000</v>
      </c>
      <c r="Q68" s="401"/>
    </row>
    <row r="69" spans="1:17" x14ac:dyDescent="0.25">
      <c r="B69" s="401"/>
      <c r="C69" s="406"/>
      <c r="D69" s="401"/>
      <c r="E69" s="401"/>
      <c r="F69" s="401"/>
      <c r="G69" s="393"/>
      <c r="H69" s="406" t="s">
        <v>525</v>
      </c>
      <c r="I69" s="404"/>
      <c r="J69" s="401"/>
      <c r="K69" s="401"/>
      <c r="L69" s="393"/>
      <c r="M69" s="405" t="str">
        <f t="shared" ref="M69:M70" si="23">H69</f>
        <v xml:space="preserve">[To amortize deferred inflow of resources from sale of </v>
      </c>
      <c r="N69" s="404"/>
      <c r="O69" s="401"/>
      <c r="P69" s="401"/>
      <c r="Q69" s="401"/>
    </row>
    <row r="70" spans="1:17" x14ac:dyDescent="0.25">
      <c r="B70" s="401"/>
      <c r="C70" s="406"/>
      <c r="D70" s="401"/>
      <c r="E70" s="401"/>
      <c r="F70" s="401"/>
      <c r="G70" s="393"/>
      <c r="H70" s="406" t="s">
        <v>526</v>
      </c>
      <c r="I70" s="404"/>
      <c r="J70" s="401"/>
      <c r="K70" s="401"/>
      <c r="L70" s="393"/>
      <c r="M70" s="405" t="str">
        <f t="shared" si="23"/>
        <v>capital building]</v>
      </c>
      <c r="N70" s="404"/>
      <c r="O70" s="401"/>
      <c r="P70" s="401"/>
      <c r="Q70" s="401"/>
    </row>
    <row r="71" spans="1:17" x14ac:dyDescent="0.25">
      <c r="B71" s="401"/>
      <c r="C71" s="406"/>
      <c r="D71" s="401"/>
      <c r="E71" s="401"/>
      <c r="F71" s="401"/>
      <c r="G71" s="393"/>
      <c r="H71" s="406"/>
      <c r="I71" s="404"/>
      <c r="J71" s="401"/>
      <c r="K71" s="401"/>
      <c r="L71" s="393"/>
      <c r="M71" s="405"/>
      <c r="N71" s="404"/>
      <c r="O71" s="401"/>
      <c r="P71" s="401"/>
      <c r="Q71" s="401"/>
    </row>
    <row r="72" spans="1:17" x14ac:dyDescent="0.25">
      <c r="B72" s="401"/>
      <c r="C72" s="406"/>
      <c r="D72" s="401"/>
      <c r="E72" s="401"/>
      <c r="F72" s="401"/>
      <c r="G72" s="393"/>
      <c r="H72" s="406"/>
      <c r="I72" s="404"/>
      <c r="J72" s="401"/>
      <c r="K72" s="401"/>
      <c r="L72" s="393"/>
      <c r="M72" s="405"/>
      <c r="N72" s="404"/>
      <c r="O72" s="401"/>
      <c r="P72" s="401"/>
      <c r="Q72" s="401"/>
    </row>
    <row r="73" spans="1:17" x14ac:dyDescent="0.25">
      <c r="A73" s="400" t="s">
        <v>532</v>
      </c>
      <c r="B73" s="401"/>
      <c r="C73" s="406"/>
      <c r="D73" s="389" t="s">
        <v>36</v>
      </c>
      <c r="E73" s="401"/>
      <c r="F73" s="401"/>
      <c r="G73" s="393"/>
      <c r="H73" s="389" t="s">
        <v>632</v>
      </c>
      <c r="I73" s="404"/>
      <c r="J73" s="401">
        <f>+K74</f>
        <v>1440000</v>
      </c>
      <c r="K73" s="401"/>
      <c r="L73" s="393"/>
      <c r="M73" s="405" t="str">
        <f t="shared" ref="M73" si="24">H73</f>
        <v>Amortization expense</v>
      </c>
      <c r="N73" s="404"/>
      <c r="O73" s="401">
        <f t="shared" ref="O73" si="25">J73</f>
        <v>1440000</v>
      </c>
      <c r="P73" s="401"/>
      <c r="Q73" s="401"/>
    </row>
    <row r="74" spans="1:17" x14ac:dyDescent="0.25">
      <c r="B74" s="401"/>
      <c r="C74" s="406"/>
      <c r="D74" s="401"/>
      <c r="E74" s="401"/>
      <c r="F74" s="401"/>
      <c r="G74" s="393"/>
      <c r="H74" s="406"/>
      <c r="I74" s="404" t="str">
        <f>$I$42</f>
        <v>Accumulated amortization - lease asset - capital building</v>
      </c>
      <c r="J74" s="401"/>
      <c r="K74" s="401">
        <f>ROUND('Ex. 5 Calcs-City'!O25,0)</f>
        <v>1440000</v>
      </c>
      <c r="L74" s="393"/>
      <c r="M74" s="405"/>
      <c r="N74" s="404" t="str">
        <f t="shared" ref="N74" si="26">I74</f>
        <v>Accumulated amortization - lease asset - capital building</v>
      </c>
      <c r="O74" s="401"/>
      <c r="P74" s="401">
        <f t="shared" ref="P74" si="27">K74</f>
        <v>1440000</v>
      </c>
      <c r="Q74" s="401"/>
    </row>
    <row r="75" spans="1:17" x14ac:dyDescent="0.25">
      <c r="B75" s="401"/>
      <c r="C75" s="389"/>
      <c r="D75" s="401"/>
      <c r="E75" s="401"/>
      <c r="F75" s="401"/>
      <c r="G75" s="393"/>
      <c r="H75" s="406" t="s">
        <v>652</v>
      </c>
      <c r="J75" s="401"/>
      <c r="K75" s="401"/>
      <c r="L75" s="393"/>
      <c r="M75" s="405" t="str">
        <f t="shared" ref="M75" si="28">H75</f>
        <v>[To record amortization of lease asset]</v>
      </c>
      <c r="N75" s="404"/>
      <c r="O75" s="401"/>
      <c r="P75" s="401"/>
      <c r="Q75" s="401"/>
    </row>
    <row r="76" spans="1:17" ht="16.5" thickBot="1" x14ac:dyDescent="0.3">
      <c r="E76" s="410">
        <f>SUM(E6:E75)-SUM(F6:F75)</f>
        <v>0</v>
      </c>
      <c r="J76" s="410">
        <f>SUM(J6:J75)-SUM(K6:K75)</f>
        <v>0</v>
      </c>
      <c r="O76" s="410">
        <f>SUM(O6:O75)-SUM(P6:P75)</f>
        <v>0</v>
      </c>
    </row>
    <row r="77" spans="1:17" s="415" customFormat="1" ht="14.65" customHeight="1" thickBot="1" x14ac:dyDescent="0.3">
      <c r="A77" s="411"/>
      <c r="B77" s="409"/>
      <c r="C77" s="412" t="s">
        <v>837</v>
      </c>
      <c r="D77" s="413"/>
      <c r="E77" s="413"/>
      <c r="F77" s="414"/>
      <c r="G77" s="393"/>
      <c r="H77" s="412" t="s">
        <v>837</v>
      </c>
      <c r="I77" s="413"/>
      <c r="J77" s="413"/>
      <c r="K77" s="414"/>
      <c r="L77" s="393"/>
      <c r="M77" s="412" t="s">
        <v>837</v>
      </c>
      <c r="N77" s="413"/>
      <c r="O77" s="413"/>
      <c r="P77" s="414"/>
      <c r="Q77" s="393"/>
    </row>
  </sheetData>
  <mergeCells count="4">
    <mergeCell ref="C4:F4"/>
    <mergeCell ref="H4:K4"/>
    <mergeCell ref="M4:P4"/>
    <mergeCell ref="A1:P1"/>
  </mergeCells>
  <pageMargins left="0.7" right="0.7" top="0.75" bottom="0.75" header="0.3" footer="0.3"/>
  <pageSetup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4"/>
  <sheetViews>
    <sheetView workbookViewId="0"/>
  </sheetViews>
  <sheetFormatPr defaultColWidth="9" defaultRowHeight="18.75" x14ac:dyDescent="0.3"/>
  <cols>
    <col min="1" max="1" width="6.7109375" style="60" customWidth="1"/>
    <col min="2" max="2" width="15" style="161" customWidth="1"/>
    <col min="3" max="3" width="16" style="161" bestFit="1" customWidth="1"/>
    <col min="4" max="4" width="16.42578125" style="161" customWidth="1"/>
    <col min="5" max="5" width="12.28515625" style="161" bestFit="1" customWidth="1"/>
    <col min="6" max="6" width="22.28515625" style="161" customWidth="1"/>
    <col min="7" max="7" width="4.85546875" style="60" customWidth="1"/>
    <col min="8" max="8" width="13.7109375" style="60" bestFit="1" customWidth="1"/>
    <col min="9" max="9" width="16" style="60" bestFit="1" customWidth="1"/>
    <col min="10" max="10" width="6" style="60" customWidth="1"/>
    <col min="11" max="11" width="10.85546875" style="60" bestFit="1" customWidth="1"/>
    <col min="12" max="12" width="15.7109375" style="60" customWidth="1"/>
    <col min="13" max="16384" width="9" style="60"/>
  </cols>
  <sheetData>
    <row r="2" spans="1:16" x14ac:dyDescent="0.3">
      <c r="B2" s="255" t="s">
        <v>868</v>
      </c>
    </row>
    <row r="3" spans="1:16" x14ac:dyDescent="0.3">
      <c r="B3" s="255"/>
    </row>
    <row r="4" spans="1:16" x14ac:dyDescent="0.3">
      <c r="B4" s="161" t="s">
        <v>589</v>
      </c>
    </row>
    <row r="5" spans="1:16" ht="56.25" x14ac:dyDescent="0.3">
      <c r="B5" s="255"/>
      <c r="C5" s="321" t="s">
        <v>2</v>
      </c>
      <c r="D5" s="322" t="s">
        <v>590</v>
      </c>
    </row>
    <row r="6" spans="1:16" x14ac:dyDescent="0.3">
      <c r="B6" s="311" t="s">
        <v>591</v>
      </c>
      <c r="C6" s="256">
        <v>1000000</v>
      </c>
      <c r="D6" s="256">
        <f>+C6</f>
        <v>1000000</v>
      </c>
    </row>
    <row r="7" spans="1:16" x14ac:dyDescent="0.3">
      <c r="B7" s="311" t="s">
        <v>592</v>
      </c>
      <c r="C7" s="256">
        <v>100000</v>
      </c>
      <c r="D7" s="256">
        <f>+C7</f>
        <v>100000</v>
      </c>
    </row>
    <row r="8" spans="1:16" x14ac:dyDescent="0.3">
      <c r="B8" s="311"/>
      <c r="C8" s="256"/>
      <c r="D8" s="256"/>
    </row>
    <row r="9" spans="1:16" x14ac:dyDescent="0.3">
      <c r="A9" s="280"/>
      <c r="B9" s="311" t="s">
        <v>593</v>
      </c>
      <c r="C9" s="256"/>
      <c r="D9" s="256"/>
    </row>
    <row r="10" spans="1:16" x14ac:dyDescent="0.3">
      <c r="D10" s="275" t="s">
        <v>467</v>
      </c>
      <c r="E10" s="60"/>
      <c r="F10" s="275" t="s">
        <v>568</v>
      </c>
    </row>
    <row r="11" spans="1:16" x14ac:dyDescent="0.3">
      <c r="B11" s="161" t="s">
        <v>470</v>
      </c>
      <c r="D11" s="260">
        <v>44197</v>
      </c>
      <c r="E11" s="60"/>
      <c r="F11" s="274">
        <f>+D11</f>
        <v>44197</v>
      </c>
      <c r="J11" s="862" t="s">
        <v>594</v>
      </c>
      <c r="K11" s="862"/>
      <c r="L11" s="862"/>
      <c r="M11" s="862"/>
      <c r="N11" s="862"/>
      <c r="O11" s="862"/>
      <c r="P11" s="862"/>
    </row>
    <row r="12" spans="1:16" x14ac:dyDescent="0.3">
      <c r="B12" s="161" t="s">
        <v>539</v>
      </c>
      <c r="D12" s="261">
        <v>60</v>
      </c>
      <c r="E12" s="60"/>
      <c r="F12" s="161">
        <f>+D12</f>
        <v>60</v>
      </c>
      <c r="J12" s="321" t="s">
        <v>595</v>
      </c>
      <c r="K12" s="60" t="s">
        <v>712</v>
      </c>
    </row>
    <row r="13" spans="1:16" x14ac:dyDescent="0.3">
      <c r="B13" s="60" t="s">
        <v>540</v>
      </c>
      <c r="C13" s="60"/>
      <c r="D13" s="256">
        <f>5*F13</f>
        <v>50000</v>
      </c>
      <c r="E13" s="60"/>
      <c r="F13" s="256">
        <v>10000</v>
      </c>
      <c r="J13" s="321" t="s">
        <v>596</v>
      </c>
      <c r="K13" s="60" t="s">
        <v>713</v>
      </c>
    </row>
    <row r="14" spans="1:16" x14ac:dyDescent="0.3">
      <c r="B14" s="161" t="s">
        <v>462</v>
      </c>
      <c r="C14" s="60"/>
      <c r="D14" s="60"/>
      <c r="E14" s="60"/>
      <c r="J14" s="321" t="s">
        <v>597</v>
      </c>
      <c r="K14" s="60" t="s">
        <v>714</v>
      </c>
    </row>
    <row r="15" spans="1:16" x14ac:dyDescent="0.3">
      <c r="B15" s="161" t="s">
        <v>538</v>
      </c>
      <c r="C15" s="60"/>
      <c r="D15" s="97">
        <v>0.06</v>
      </c>
      <c r="E15" s="60"/>
      <c r="F15" s="270">
        <f>+D15</f>
        <v>0.06</v>
      </c>
    </row>
    <row r="16" spans="1:16" x14ac:dyDescent="0.3">
      <c r="D16" s="256"/>
      <c r="E16" s="60"/>
      <c r="F16" s="60"/>
    </row>
    <row r="17" spans="1:11" ht="18" customHeight="1" x14ac:dyDescent="0.3">
      <c r="B17" s="144" t="s">
        <v>151</v>
      </c>
      <c r="C17" s="144"/>
      <c r="D17" s="144"/>
      <c r="E17" s="276"/>
      <c r="F17" s="277" t="s">
        <v>152</v>
      </c>
      <c r="G17" s="277"/>
      <c r="H17" s="146"/>
      <c r="I17" s="277"/>
    </row>
    <row r="18" spans="1:11" x14ac:dyDescent="0.3">
      <c r="B18" s="69" t="s">
        <v>541</v>
      </c>
      <c r="C18" s="69"/>
      <c r="D18" s="138">
        <f>+D13</f>
        <v>50000</v>
      </c>
      <c r="E18" s="278"/>
      <c r="F18" s="69" t="s">
        <v>126</v>
      </c>
      <c r="G18" s="48"/>
      <c r="I18" s="279">
        <f>+D21</f>
        <v>2549209</v>
      </c>
    </row>
    <row r="19" spans="1:11" x14ac:dyDescent="0.3">
      <c r="B19" s="69" t="s">
        <v>466</v>
      </c>
      <c r="C19" s="49"/>
      <c r="D19" s="49">
        <f>+D12-1</f>
        <v>59</v>
      </c>
      <c r="E19" s="280"/>
      <c r="F19" s="69" t="s">
        <v>545</v>
      </c>
      <c r="G19" s="48"/>
      <c r="I19" s="281">
        <f>+D18</f>
        <v>50000</v>
      </c>
    </row>
    <row r="20" spans="1:11" ht="19.5" thickBot="1" x14ac:dyDescent="0.35">
      <c r="B20" s="69" t="s">
        <v>130</v>
      </c>
      <c r="C20" s="89"/>
      <c r="D20" s="89">
        <f>6%/12</f>
        <v>5.0000000000000001E-3</v>
      </c>
      <c r="E20" s="280"/>
      <c r="F20" s="282" t="s">
        <v>544</v>
      </c>
      <c r="G20" s="48"/>
      <c r="I20" s="283">
        <f>SUM(I18:I19)</f>
        <v>2599209</v>
      </c>
    </row>
    <row r="21" spans="1:11" ht="20.25" thickTop="1" thickBot="1" x14ac:dyDescent="0.35">
      <c r="B21" s="69" t="s">
        <v>473</v>
      </c>
      <c r="C21" s="56"/>
      <c r="D21" s="284">
        <f>ROUND(-PV(D20,D19,D18),0)</f>
        <v>2549209</v>
      </c>
      <c r="E21" s="280"/>
      <c r="F21" s="56"/>
      <c r="H21" s="285"/>
      <c r="I21" s="48"/>
      <c r="J21" s="48"/>
      <c r="K21" s="280"/>
    </row>
    <row r="22" spans="1:11" ht="19.5" thickTop="1" x14ac:dyDescent="0.3">
      <c r="B22" s="69"/>
      <c r="C22" s="56"/>
      <c r="D22" s="336"/>
      <c r="E22" s="280"/>
      <c r="F22" s="56"/>
      <c r="H22" s="285"/>
      <c r="I22" s="48"/>
      <c r="J22" s="48"/>
      <c r="K22" s="280"/>
    </row>
    <row r="23" spans="1:11" x14ac:dyDescent="0.3">
      <c r="B23" s="69"/>
      <c r="C23" s="56"/>
      <c r="D23" s="336"/>
      <c r="E23" s="280"/>
      <c r="F23" s="56"/>
      <c r="H23" s="285"/>
      <c r="I23" s="48"/>
      <c r="J23" s="48"/>
      <c r="K23" s="280"/>
    </row>
    <row r="24" spans="1:11" x14ac:dyDescent="0.3">
      <c r="B24" s="69"/>
      <c r="C24" s="56"/>
      <c r="D24" s="336"/>
      <c r="E24" s="280"/>
      <c r="F24" s="56"/>
      <c r="H24" s="285"/>
      <c r="I24" s="48"/>
      <c r="J24" s="48"/>
      <c r="K24" s="280"/>
    </row>
    <row r="25" spans="1:11" x14ac:dyDescent="0.3">
      <c r="B25" s="69"/>
      <c r="C25" s="56"/>
      <c r="D25" s="336"/>
      <c r="E25" s="280"/>
      <c r="F25" s="56"/>
      <c r="H25" s="285"/>
      <c r="I25" s="48"/>
      <c r="J25" s="48"/>
      <c r="K25" s="280"/>
    </row>
    <row r="26" spans="1:11" x14ac:dyDescent="0.3">
      <c r="B26" s="48"/>
      <c r="C26" s="48"/>
      <c r="D26" s="48"/>
      <c r="E26" s="49"/>
      <c r="F26" s="282" t="s">
        <v>571</v>
      </c>
      <c r="I26" s="256">
        <v>25000</v>
      </c>
      <c r="K26" s="280"/>
    </row>
    <row r="27" spans="1:11" x14ac:dyDescent="0.3">
      <c r="B27" s="48"/>
      <c r="C27" s="48"/>
      <c r="D27" s="48"/>
      <c r="E27" s="48"/>
      <c r="F27" s="286"/>
      <c r="G27" s="48"/>
      <c r="I27" s="287">
        <f>ROUND(SUM(I34:I93)-I31,0)</f>
        <v>0</v>
      </c>
      <c r="J27" s="57"/>
      <c r="K27" s="280"/>
    </row>
    <row r="28" spans="1:11" ht="18" customHeight="1" x14ac:dyDescent="0.3">
      <c r="B28" s="865" t="s">
        <v>153</v>
      </c>
      <c r="C28" s="866"/>
      <c r="D28" s="866"/>
      <c r="E28" s="866"/>
      <c r="F28" s="867"/>
      <c r="G28" s="48"/>
      <c r="H28" s="871" t="s">
        <v>550</v>
      </c>
      <c r="I28" s="872"/>
      <c r="J28" s="48"/>
      <c r="K28" s="280"/>
    </row>
    <row r="29" spans="1:11" x14ac:dyDescent="0.3">
      <c r="A29" s="288"/>
      <c r="B29" s="868"/>
      <c r="C29" s="869"/>
      <c r="D29" s="869"/>
      <c r="E29" s="869"/>
      <c r="F29" s="870"/>
      <c r="G29" s="57"/>
      <c r="H29" s="873"/>
      <c r="I29" s="874"/>
      <c r="J29" s="288"/>
      <c r="K29" s="280"/>
    </row>
    <row r="30" spans="1:11" ht="18" customHeight="1" x14ac:dyDescent="0.3">
      <c r="A30" s="288"/>
      <c r="B30" s="877" t="s">
        <v>7</v>
      </c>
      <c r="C30" s="863" t="s">
        <v>542</v>
      </c>
      <c r="D30" s="863" t="s">
        <v>543</v>
      </c>
      <c r="E30" s="877" t="s">
        <v>34</v>
      </c>
      <c r="F30" s="880" t="s">
        <v>33</v>
      </c>
      <c r="G30" s="57"/>
      <c r="H30" s="875"/>
      <c r="I30" s="876"/>
      <c r="J30" s="57"/>
      <c r="K30" s="288"/>
    </row>
    <row r="31" spans="1:11" x14ac:dyDescent="0.3">
      <c r="A31" s="288"/>
      <c r="B31" s="878"/>
      <c r="C31" s="864"/>
      <c r="D31" s="864"/>
      <c r="E31" s="878"/>
      <c r="F31" s="881"/>
      <c r="G31" s="57"/>
      <c r="H31" s="289" t="s">
        <v>129</v>
      </c>
      <c r="I31" s="289">
        <f>+I20</f>
        <v>2599209</v>
      </c>
      <c r="J31" s="57"/>
      <c r="K31" s="288"/>
    </row>
    <row r="32" spans="1:11" x14ac:dyDescent="0.3">
      <c r="A32" s="288"/>
      <c r="B32" s="879"/>
      <c r="C32" s="290">
        <f>+D18</f>
        <v>50000</v>
      </c>
      <c r="D32" s="291">
        <f>+D20</f>
        <v>5.0000000000000001E-3</v>
      </c>
      <c r="E32" s="879"/>
      <c r="F32" s="290">
        <f>ROUND(+D21,0)</f>
        <v>2549209</v>
      </c>
      <c r="G32" s="57"/>
      <c r="H32" s="292" t="s">
        <v>128</v>
      </c>
      <c r="I32" s="293">
        <v>5</v>
      </c>
      <c r="J32" s="57"/>
      <c r="K32" s="288"/>
    </row>
    <row r="33" spans="1:11" x14ac:dyDescent="0.3">
      <c r="B33" s="171"/>
      <c r="C33" s="171"/>
      <c r="D33" s="171"/>
      <c r="E33" s="294"/>
      <c r="F33" s="171"/>
      <c r="G33" s="48"/>
      <c r="H33" s="295"/>
      <c r="I33" s="296"/>
      <c r="J33" s="48"/>
      <c r="K33" s="280"/>
    </row>
    <row r="34" spans="1:11" x14ac:dyDescent="0.3">
      <c r="A34" s="60">
        <v>1</v>
      </c>
      <c r="B34" s="297">
        <v>44197</v>
      </c>
      <c r="C34" s="171">
        <f>+D13*2</f>
        <v>100000</v>
      </c>
      <c r="D34" s="171"/>
      <c r="E34" s="296">
        <f>+C34-D34</f>
        <v>100000</v>
      </c>
      <c r="F34" s="296">
        <f>+D21</f>
        <v>2549209</v>
      </c>
      <c r="G34" s="48"/>
      <c r="H34" s="295" t="s">
        <v>102</v>
      </c>
      <c r="I34" s="296">
        <f>ROUND(+$I$31/$I$32/2,0)</f>
        <v>259921</v>
      </c>
      <c r="J34" s="48"/>
      <c r="K34" s="280"/>
    </row>
    <row r="35" spans="1:11" x14ac:dyDescent="0.3">
      <c r="A35" s="60">
        <v>2</v>
      </c>
      <c r="B35" s="297">
        <v>44228</v>
      </c>
      <c r="C35" s="296">
        <f>+C32</f>
        <v>50000</v>
      </c>
      <c r="D35" s="296">
        <f>ROUND(+F34*$D$32,0)</f>
        <v>12746</v>
      </c>
      <c r="E35" s="296">
        <f>+C35-D35</f>
        <v>37254</v>
      </c>
      <c r="F35" s="296">
        <f>+F34-E35</f>
        <v>2511955</v>
      </c>
      <c r="G35" s="48"/>
      <c r="H35" s="295">
        <v>2022</v>
      </c>
      <c r="I35" s="296">
        <f>+$I$31/$I$32</f>
        <v>519841.8</v>
      </c>
      <c r="J35" s="48"/>
      <c r="K35" s="280"/>
    </row>
    <row r="36" spans="1:11" x14ac:dyDescent="0.3">
      <c r="A36" s="60">
        <v>3</v>
      </c>
      <c r="B36" s="297">
        <v>44256</v>
      </c>
      <c r="C36" s="296">
        <f t="shared" ref="C36:C82" si="0">+C35</f>
        <v>50000</v>
      </c>
      <c r="D36" s="296">
        <f t="shared" ref="D36:D92" si="1">ROUND(+F35*$D$32,0)</f>
        <v>12560</v>
      </c>
      <c r="E36" s="296">
        <f t="shared" ref="E36:E92" si="2">+C36-D36</f>
        <v>37440</v>
      </c>
      <c r="F36" s="296">
        <f t="shared" ref="F36:F92" si="3">+F35-E36</f>
        <v>2474515</v>
      </c>
      <c r="G36" s="48"/>
      <c r="H36" s="295">
        <v>2023</v>
      </c>
      <c r="I36" s="296">
        <f>+$I$31/$I$32</f>
        <v>519841.8</v>
      </c>
      <c r="J36" s="48"/>
      <c r="K36" s="280"/>
    </row>
    <row r="37" spans="1:11" x14ac:dyDescent="0.3">
      <c r="A37" s="60">
        <v>4</v>
      </c>
      <c r="B37" s="297">
        <v>44287</v>
      </c>
      <c r="C37" s="296">
        <f t="shared" si="0"/>
        <v>50000</v>
      </c>
      <c r="D37" s="296">
        <f t="shared" si="1"/>
        <v>12373</v>
      </c>
      <c r="E37" s="296">
        <f t="shared" si="2"/>
        <v>37627</v>
      </c>
      <c r="F37" s="296">
        <f t="shared" si="3"/>
        <v>2436888</v>
      </c>
      <c r="G37" s="48"/>
      <c r="H37" s="295">
        <v>2024</v>
      </c>
      <c r="I37" s="296">
        <f>+$I$31/$I$32</f>
        <v>519841.8</v>
      </c>
      <c r="J37" s="48"/>
      <c r="K37" s="280"/>
    </row>
    <row r="38" spans="1:11" x14ac:dyDescent="0.3">
      <c r="A38" s="60">
        <v>5</v>
      </c>
      <c r="B38" s="297">
        <v>44317</v>
      </c>
      <c r="C38" s="296">
        <f t="shared" si="0"/>
        <v>50000</v>
      </c>
      <c r="D38" s="296">
        <f t="shared" si="1"/>
        <v>12184</v>
      </c>
      <c r="E38" s="296">
        <f t="shared" si="2"/>
        <v>37816</v>
      </c>
      <c r="F38" s="296">
        <f t="shared" si="3"/>
        <v>2399072</v>
      </c>
      <c r="G38" s="48"/>
      <c r="H38" s="295">
        <v>2025</v>
      </c>
      <c r="I38" s="296">
        <f>+$I$31/$I$32</f>
        <v>519841.8</v>
      </c>
      <c r="J38" s="48"/>
      <c r="K38" s="280"/>
    </row>
    <row r="39" spans="1:11" x14ac:dyDescent="0.3">
      <c r="A39" s="202">
        <v>6</v>
      </c>
      <c r="B39" s="298">
        <v>44348</v>
      </c>
      <c r="C39" s="299">
        <f t="shared" si="0"/>
        <v>50000</v>
      </c>
      <c r="D39" s="299">
        <f t="shared" si="1"/>
        <v>11995</v>
      </c>
      <c r="E39" s="299">
        <f t="shared" si="2"/>
        <v>38005</v>
      </c>
      <c r="F39" s="299">
        <f t="shared" si="3"/>
        <v>2361067</v>
      </c>
      <c r="G39" s="48"/>
      <c r="H39" s="300">
        <v>2026</v>
      </c>
      <c r="I39" s="299">
        <f>ROUND(+$I$31/$I$32/2,0)</f>
        <v>259921</v>
      </c>
      <c r="J39" s="48"/>
      <c r="K39" s="280"/>
    </row>
    <row r="40" spans="1:11" x14ac:dyDescent="0.3">
      <c r="A40" s="60">
        <v>7</v>
      </c>
      <c r="B40" s="297">
        <v>44378</v>
      </c>
      <c r="C40" s="296">
        <f t="shared" si="0"/>
        <v>50000</v>
      </c>
      <c r="D40" s="296">
        <f t="shared" si="1"/>
        <v>11805</v>
      </c>
      <c r="E40" s="296">
        <f t="shared" si="2"/>
        <v>38195</v>
      </c>
      <c r="F40" s="296">
        <f t="shared" si="3"/>
        <v>2322872</v>
      </c>
      <c r="G40" s="48"/>
      <c r="H40" s="301"/>
      <c r="I40" s="286"/>
      <c r="J40" s="48"/>
      <c r="K40" s="280"/>
    </row>
    <row r="41" spans="1:11" x14ac:dyDescent="0.3">
      <c r="A41" s="60">
        <v>8</v>
      </c>
      <c r="B41" s="297">
        <v>44409</v>
      </c>
      <c r="C41" s="296">
        <f t="shared" si="0"/>
        <v>50000</v>
      </c>
      <c r="D41" s="296">
        <f t="shared" si="1"/>
        <v>11614</v>
      </c>
      <c r="E41" s="296">
        <f t="shared" si="2"/>
        <v>38386</v>
      </c>
      <c r="F41" s="296">
        <f t="shared" si="3"/>
        <v>2284486</v>
      </c>
      <c r="G41" s="48"/>
      <c r="H41" s="301"/>
      <c r="I41" s="286"/>
      <c r="J41" s="48"/>
      <c r="K41" s="280"/>
    </row>
    <row r="42" spans="1:11" x14ac:dyDescent="0.3">
      <c r="A42" s="60">
        <v>9</v>
      </c>
      <c r="B42" s="297">
        <v>44440</v>
      </c>
      <c r="C42" s="296">
        <f t="shared" si="0"/>
        <v>50000</v>
      </c>
      <c r="D42" s="296">
        <f t="shared" si="1"/>
        <v>11422</v>
      </c>
      <c r="E42" s="296">
        <f t="shared" si="2"/>
        <v>38578</v>
      </c>
      <c r="F42" s="296">
        <f t="shared" si="3"/>
        <v>2245908</v>
      </c>
      <c r="G42" s="48"/>
      <c r="H42" s="301"/>
      <c r="I42" s="286"/>
      <c r="J42" s="48"/>
      <c r="K42" s="280"/>
    </row>
    <row r="43" spans="1:11" x14ac:dyDescent="0.3">
      <c r="A43" s="60">
        <v>10</v>
      </c>
      <c r="B43" s="297">
        <v>44470</v>
      </c>
      <c r="C43" s="296">
        <f t="shared" si="0"/>
        <v>50000</v>
      </c>
      <c r="D43" s="296">
        <f t="shared" si="1"/>
        <v>11230</v>
      </c>
      <c r="E43" s="296">
        <f t="shared" si="2"/>
        <v>38770</v>
      </c>
      <c r="F43" s="296">
        <f t="shared" si="3"/>
        <v>2207138</v>
      </c>
      <c r="G43" s="48"/>
      <c r="H43" s="301"/>
      <c r="I43" s="286"/>
      <c r="J43" s="48"/>
      <c r="K43" s="280"/>
    </row>
    <row r="44" spans="1:11" x14ac:dyDescent="0.3">
      <c r="A44" s="60">
        <v>11</v>
      </c>
      <c r="B44" s="297">
        <v>44501</v>
      </c>
      <c r="C44" s="296">
        <f>+C43</f>
        <v>50000</v>
      </c>
      <c r="D44" s="296">
        <f t="shared" si="1"/>
        <v>11036</v>
      </c>
      <c r="E44" s="296">
        <f t="shared" si="2"/>
        <v>38964</v>
      </c>
      <c r="F44" s="296">
        <f t="shared" si="3"/>
        <v>2168174</v>
      </c>
      <c r="G44" s="48"/>
      <c r="H44" s="301"/>
      <c r="I44" s="286"/>
      <c r="J44" s="48"/>
      <c r="K44" s="280"/>
    </row>
    <row r="45" spans="1:11" x14ac:dyDescent="0.3">
      <c r="A45" s="60">
        <v>12</v>
      </c>
      <c r="B45" s="297">
        <v>44531</v>
      </c>
      <c r="C45" s="296">
        <f t="shared" si="0"/>
        <v>50000</v>
      </c>
      <c r="D45" s="296">
        <f t="shared" si="1"/>
        <v>10841</v>
      </c>
      <c r="E45" s="296">
        <f t="shared" si="2"/>
        <v>39159</v>
      </c>
      <c r="F45" s="296">
        <f t="shared" si="3"/>
        <v>2129015</v>
      </c>
      <c r="G45" s="48"/>
      <c r="H45" s="301"/>
      <c r="I45" s="286"/>
      <c r="J45" s="48"/>
      <c r="K45" s="280"/>
    </row>
    <row r="46" spans="1:11" x14ac:dyDescent="0.3">
      <c r="A46" s="60">
        <v>13</v>
      </c>
      <c r="B46" s="297">
        <v>44562</v>
      </c>
      <c r="C46" s="296">
        <f t="shared" si="0"/>
        <v>50000</v>
      </c>
      <c r="D46" s="296">
        <f t="shared" si="1"/>
        <v>10645</v>
      </c>
      <c r="E46" s="296">
        <f t="shared" si="2"/>
        <v>39355</v>
      </c>
      <c r="F46" s="296">
        <f t="shared" si="3"/>
        <v>2089660</v>
      </c>
      <c r="G46" s="302"/>
      <c r="H46" s="301"/>
      <c r="I46" s="303"/>
      <c r="J46" s="302"/>
      <c r="K46" s="304"/>
    </row>
    <row r="47" spans="1:11" x14ac:dyDescent="0.3">
      <c r="A47" s="60">
        <v>14</v>
      </c>
      <c r="B47" s="297">
        <v>44593</v>
      </c>
      <c r="C47" s="296">
        <f t="shared" si="0"/>
        <v>50000</v>
      </c>
      <c r="D47" s="296">
        <f t="shared" si="1"/>
        <v>10448</v>
      </c>
      <c r="E47" s="296">
        <f t="shared" si="2"/>
        <v>39552</v>
      </c>
      <c r="F47" s="296">
        <f t="shared" si="3"/>
        <v>2050108</v>
      </c>
      <c r="G47" s="302"/>
      <c r="H47" s="301"/>
      <c r="I47" s="303"/>
      <c r="J47" s="302"/>
      <c r="K47" s="304"/>
    </row>
    <row r="48" spans="1:11" x14ac:dyDescent="0.3">
      <c r="A48" s="60">
        <v>15</v>
      </c>
      <c r="B48" s="297">
        <v>44621</v>
      </c>
      <c r="C48" s="296">
        <f t="shared" si="0"/>
        <v>50000</v>
      </c>
      <c r="D48" s="296">
        <f t="shared" si="1"/>
        <v>10251</v>
      </c>
      <c r="E48" s="296">
        <f t="shared" si="2"/>
        <v>39749</v>
      </c>
      <c r="F48" s="296">
        <f t="shared" si="3"/>
        <v>2010359</v>
      </c>
      <c r="G48" s="302"/>
      <c r="H48" s="301"/>
      <c r="I48" s="303"/>
      <c r="J48" s="302"/>
      <c r="K48" s="304"/>
    </row>
    <row r="49" spans="1:11" x14ac:dyDescent="0.3">
      <c r="A49" s="60">
        <v>16</v>
      </c>
      <c r="B49" s="297">
        <v>44652</v>
      </c>
      <c r="C49" s="296">
        <f t="shared" si="0"/>
        <v>50000</v>
      </c>
      <c r="D49" s="296">
        <f t="shared" si="1"/>
        <v>10052</v>
      </c>
      <c r="E49" s="296">
        <f t="shared" si="2"/>
        <v>39948</v>
      </c>
      <c r="F49" s="296">
        <f t="shared" si="3"/>
        <v>1970411</v>
      </c>
      <c r="G49" s="302"/>
      <c r="H49" s="301"/>
      <c r="I49" s="303"/>
      <c r="J49" s="302"/>
      <c r="K49" s="304"/>
    </row>
    <row r="50" spans="1:11" x14ac:dyDescent="0.3">
      <c r="A50" s="60">
        <v>17</v>
      </c>
      <c r="B50" s="297">
        <v>44682</v>
      </c>
      <c r="C50" s="296">
        <f t="shared" si="0"/>
        <v>50000</v>
      </c>
      <c r="D50" s="296">
        <f t="shared" si="1"/>
        <v>9852</v>
      </c>
      <c r="E50" s="296">
        <f t="shared" si="2"/>
        <v>40148</v>
      </c>
      <c r="F50" s="296">
        <f t="shared" si="3"/>
        <v>1930263</v>
      </c>
      <c r="G50" s="302"/>
      <c r="H50" s="301"/>
      <c r="I50" s="303"/>
      <c r="J50" s="302"/>
      <c r="K50" s="304"/>
    </row>
    <row r="51" spans="1:11" x14ac:dyDescent="0.3">
      <c r="A51" s="146">
        <v>18</v>
      </c>
      <c r="B51" s="298">
        <v>44713</v>
      </c>
      <c r="C51" s="299">
        <f t="shared" si="0"/>
        <v>50000</v>
      </c>
      <c r="D51" s="299">
        <f t="shared" si="1"/>
        <v>9651</v>
      </c>
      <c r="E51" s="299">
        <f t="shared" si="2"/>
        <v>40349</v>
      </c>
      <c r="F51" s="299">
        <f t="shared" si="3"/>
        <v>1889914</v>
      </c>
      <c r="G51" s="302"/>
      <c r="H51" s="301"/>
      <c r="I51" s="303"/>
      <c r="J51" s="302"/>
      <c r="K51" s="304"/>
    </row>
    <row r="52" spans="1:11" x14ac:dyDescent="0.3">
      <c r="A52" s="60">
        <v>19</v>
      </c>
      <c r="B52" s="297">
        <v>44743</v>
      </c>
      <c r="C52" s="296">
        <f t="shared" si="0"/>
        <v>50000</v>
      </c>
      <c r="D52" s="296">
        <f t="shared" si="1"/>
        <v>9450</v>
      </c>
      <c r="E52" s="296">
        <f t="shared" si="2"/>
        <v>40550</v>
      </c>
      <c r="F52" s="296">
        <f t="shared" si="3"/>
        <v>1849364</v>
      </c>
      <c r="G52" s="302"/>
      <c r="H52" s="301"/>
      <c r="I52" s="303"/>
      <c r="J52" s="302"/>
      <c r="K52" s="304"/>
    </row>
    <row r="53" spans="1:11" x14ac:dyDescent="0.3">
      <c r="A53" s="60">
        <v>20</v>
      </c>
      <c r="B53" s="297">
        <v>44774</v>
      </c>
      <c r="C53" s="296">
        <f t="shared" si="0"/>
        <v>50000</v>
      </c>
      <c r="D53" s="296">
        <f t="shared" si="1"/>
        <v>9247</v>
      </c>
      <c r="E53" s="296">
        <f t="shared" si="2"/>
        <v>40753</v>
      </c>
      <c r="F53" s="296">
        <f t="shared" si="3"/>
        <v>1808611</v>
      </c>
      <c r="G53" s="302"/>
      <c r="H53" s="301"/>
      <c r="I53" s="303"/>
      <c r="J53" s="302"/>
      <c r="K53" s="304"/>
    </row>
    <row r="54" spans="1:11" x14ac:dyDescent="0.3">
      <c r="A54" s="60">
        <v>21</v>
      </c>
      <c r="B54" s="297">
        <v>44805</v>
      </c>
      <c r="C54" s="296">
        <f t="shared" si="0"/>
        <v>50000</v>
      </c>
      <c r="D54" s="296">
        <f t="shared" si="1"/>
        <v>9043</v>
      </c>
      <c r="E54" s="296">
        <f t="shared" si="2"/>
        <v>40957</v>
      </c>
      <c r="F54" s="296">
        <f t="shared" si="3"/>
        <v>1767654</v>
      </c>
      <c r="G54" s="302"/>
      <c r="H54" s="301"/>
      <c r="I54" s="303"/>
      <c r="J54" s="302"/>
      <c r="K54" s="304"/>
    </row>
    <row r="55" spans="1:11" x14ac:dyDescent="0.3">
      <c r="A55" s="60">
        <v>22</v>
      </c>
      <c r="B55" s="297">
        <v>44835</v>
      </c>
      <c r="C55" s="296">
        <f t="shared" si="0"/>
        <v>50000</v>
      </c>
      <c r="D55" s="296">
        <f t="shared" si="1"/>
        <v>8838</v>
      </c>
      <c r="E55" s="296">
        <f t="shared" si="2"/>
        <v>41162</v>
      </c>
      <c r="F55" s="296">
        <f t="shared" si="3"/>
        <v>1726492</v>
      </c>
      <c r="G55" s="302"/>
      <c r="H55" s="301"/>
      <c r="I55" s="303"/>
      <c r="J55" s="302"/>
      <c r="K55" s="304"/>
    </row>
    <row r="56" spans="1:11" x14ac:dyDescent="0.3">
      <c r="A56" s="60">
        <v>23</v>
      </c>
      <c r="B56" s="297">
        <v>44866</v>
      </c>
      <c r="C56" s="296">
        <f t="shared" si="0"/>
        <v>50000</v>
      </c>
      <c r="D56" s="296">
        <f t="shared" si="1"/>
        <v>8632</v>
      </c>
      <c r="E56" s="296">
        <f t="shared" si="2"/>
        <v>41368</v>
      </c>
      <c r="F56" s="296">
        <f t="shared" si="3"/>
        <v>1685124</v>
      </c>
      <c r="G56" s="302"/>
      <c r="H56" s="301"/>
      <c r="I56" s="303"/>
      <c r="J56" s="302"/>
      <c r="K56" s="304"/>
    </row>
    <row r="57" spans="1:11" x14ac:dyDescent="0.3">
      <c r="A57" s="60">
        <v>24</v>
      </c>
      <c r="B57" s="297">
        <v>44896</v>
      </c>
      <c r="C57" s="296">
        <f t="shared" si="0"/>
        <v>50000</v>
      </c>
      <c r="D57" s="296">
        <f t="shared" si="1"/>
        <v>8426</v>
      </c>
      <c r="E57" s="296">
        <f t="shared" si="2"/>
        <v>41574</v>
      </c>
      <c r="F57" s="296">
        <f t="shared" si="3"/>
        <v>1643550</v>
      </c>
      <c r="G57" s="302"/>
      <c r="H57" s="301"/>
      <c r="I57" s="303"/>
      <c r="J57" s="302"/>
      <c r="K57" s="304"/>
    </row>
    <row r="58" spans="1:11" x14ac:dyDescent="0.3">
      <c r="A58" s="60">
        <v>25</v>
      </c>
      <c r="B58" s="297">
        <v>44927</v>
      </c>
      <c r="C58" s="296">
        <f t="shared" si="0"/>
        <v>50000</v>
      </c>
      <c r="D58" s="296">
        <f t="shared" si="1"/>
        <v>8218</v>
      </c>
      <c r="E58" s="296">
        <f t="shared" si="2"/>
        <v>41782</v>
      </c>
      <c r="F58" s="296">
        <f t="shared" si="3"/>
        <v>1601768</v>
      </c>
      <c r="G58" s="302"/>
      <c r="H58" s="301"/>
      <c r="I58" s="303"/>
      <c r="J58" s="302"/>
      <c r="K58" s="304"/>
    </row>
    <row r="59" spans="1:11" x14ac:dyDescent="0.3">
      <c r="A59" s="60">
        <v>26</v>
      </c>
      <c r="B59" s="297">
        <v>44958</v>
      </c>
      <c r="C59" s="296">
        <f t="shared" si="0"/>
        <v>50000</v>
      </c>
      <c r="D59" s="296">
        <f t="shared" si="1"/>
        <v>8009</v>
      </c>
      <c r="E59" s="296">
        <f t="shared" si="2"/>
        <v>41991</v>
      </c>
      <c r="F59" s="296">
        <f t="shared" si="3"/>
        <v>1559777</v>
      </c>
      <c r="G59" s="302"/>
      <c r="H59" s="301"/>
      <c r="I59" s="303"/>
      <c r="J59" s="302"/>
      <c r="K59" s="304"/>
    </row>
    <row r="60" spans="1:11" x14ac:dyDescent="0.3">
      <c r="A60" s="60">
        <v>27</v>
      </c>
      <c r="B60" s="297">
        <v>44986</v>
      </c>
      <c r="C60" s="296">
        <f t="shared" si="0"/>
        <v>50000</v>
      </c>
      <c r="D60" s="296">
        <f t="shared" si="1"/>
        <v>7799</v>
      </c>
      <c r="E60" s="296">
        <f t="shared" si="2"/>
        <v>42201</v>
      </c>
      <c r="F60" s="296">
        <f t="shared" si="3"/>
        <v>1517576</v>
      </c>
      <c r="G60" s="302"/>
      <c r="H60" s="301"/>
      <c r="I60" s="303"/>
      <c r="J60" s="302"/>
      <c r="K60" s="304"/>
    </row>
    <row r="61" spans="1:11" x14ac:dyDescent="0.3">
      <c r="A61" s="60">
        <v>28</v>
      </c>
      <c r="B61" s="297">
        <v>45017</v>
      </c>
      <c r="C61" s="296">
        <f t="shared" si="0"/>
        <v>50000</v>
      </c>
      <c r="D61" s="296">
        <f t="shared" si="1"/>
        <v>7588</v>
      </c>
      <c r="E61" s="296">
        <f t="shared" si="2"/>
        <v>42412</v>
      </c>
      <c r="F61" s="296">
        <f t="shared" si="3"/>
        <v>1475164</v>
      </c>
      <c r="G61" s="302"/>
      <c r="H61" s="301"/>
      <c r="I61" s="303"/>
      <c r="J61" s="302"/>
      <c r="K61" s="304"/>
    </row>
    <row r="62" spans="1:11" x14ac:dyDescent="0.3">
      <c r="A62" s="60">
        <v>29</v>
      </c>
      <c r="B62" s="297">
        <v>45047</v>
      </c>
      <c r="C62" s="296">
        <f t="shared" si="0"/>
        <v>50000</v>
      </c>
      <c r="D62" s="296">
        <f t="shared" si="1"/>
        <v>7376</v>
      </c>
      <c r="E62" s="296">
        <f t="shared" si="2"/>
        <v>42624</v>
      </c>
      <c r="F62" s="296">
        <f t="shared" si="3"/>
        <v>1432540</v>
      </c>
      <c r="G62" s="302"/>
      <c r="H62" s="301"/>
      <c r="I62" s="303"/>
      <c r="J62" s="302"/>
      <c r="K62" s="304"/>
    </row>
    <row r="63" spans="1:11" x14ac:dyDescent="0.3">
      <c r="A63" s="146">
        <v>30</v>
      </c>
      <c r="B63" s="298">
        <v>45078</v>
      </c>
      <c r="C63" s="299">
        <f t="shared" si="0"/>
        <v>50000</v>
      </c>
      <c r="D63" s="299">
        <f t="shared" si="1"/>
        <v>7163</v>
      </c>
      <c r="E63" s="299">
        <f t="shared" si="2"/>
        <v>42837</v>
      </c>
      <c r="F63" s="299">
        <f t="shared" si="3"/>
        <v>1389703</v>
      </c>
      <c r="G63" s="302"/>
      <c r="H63" s="301"/>
      <c r="I63" s="303"/>
      <c r="J63" s="302"/>
      <c r="K63" s="304"/>
    </row>
    <row r="64" spans="1:11" x14ac:dyDescent="0.3">
      <c r="A64" s="60">
        <v>31</v>
      </c>
      <c r="B64" s="297">
        <v>45108</v>
      </c>
      <c r="C64" s="296">
        <f t="shared" si="0"/>
        <v>50000</v>
      </c>
      <c r="D64" s="296">
        <f t="shared" si="1"/>
        <v>6949</v>
      </c>
      <c r="E64" s="296">
        <f t="shared" si="2"/>
        <v>43051</v>
      </c>
      <c r="F64" s="296">
        <f t="shared" si="3"/>
        <v>1346652</v>
      </c>
      <c r="G64" s="302"/>
      <c r="H64" s="301"/>
      <c r="I64" s="303"/>
      <c r="J64" s="302"/>
      <c r="K64" s="304"/>
    </row>
    <row r="65" spans="1:11" x14ac:dyDescent="0.3">
      <c r="A65" s="60">
        <v>32</v>
      </c>
      <c r="B65" s="297">
        <v>45139</v>
      </c>
      <c r="C65" s="296">
        <f t="shared" si="0"/>
        <v>50000</v>
      </c>
      <c r="D65" s="296">
        <f t="shared" si="1"/>
        <v>6733</v>
      </c>
      <c r="E65" s="296">
        <f t="shared" si="2"/>
        <v>43267</v>
      </c>
      <c r="F65" s="296">
        <f t="shared" si="3"/>
        <v>1303385</v>
      </c>
      <c r="G65" s="302"/>
      <c r="H65" s="301"/>
      <c r="I65" s="303"/>
      <c r="J65" s="302"/>
      <c r="K65" s="304"/>
    </row>
    <row r="66" spans="1:11" x14ac:dyDescent="0.3">
      <c r="A66" s="60">
        <v>33</v>
      </c>
      <c r="B66" s="297">
        <v>45170</v>
      </c>
      <c r="C66" s="296">
        <f t="shared" si="0"/>
        <v>50000</v>
      </c>
      <c r="D66" s="296">
        <f t="shared" si="1"/>
        <v>6517</v>
      </c>
      <c r="E66" s="296">
        <f t="shared" si="2"/>
        <v>43483</v>
      </c>
      <c r="F66" s="296">
        <f t="shared" si="3"/>
        <v>1259902</v>
      </c>
      <c r="G66" s="302"/>
      <c r="H66" s="301"/>
      <c r="I66" s="303"/>
      <c r="J66" s="302"/>
      <c r="K66" s="304"/>
    </row>
    <row r="67" spans="1:11" x14ac:dyDescent="0.3">
      <c r="A67" s="60">
        <v>34</v>
      </c>
      <c r="B67" s="297">
        <v>45200</v>
      </c>
      <c r="C67" s="296">
        <f t="shared" si="0"/>
        <v>50000</v>
      </c>
      <c r="D67" s="296">
        <f t="shared" si="1"/>
        <v>6300</v>
      </c>
      <c r="E67" s="296">
        <f t="shared" si="2"/>
        <v>43700</v>
      </c>
      <c r="F67" s="296">
        <f t="shared" si="3"/>
        <v>1216202</v>
      </c>
      <c r="G67" s="302"/>
      <c r="H67" s="301"/>
      <c r="I67" s="303"/>
      <c r="J67" s="302"/>
      <c r="K67" s="304"/>
    </row>
    <row r="68" spans="1:11" x14ac:dyDescent="0.3">
      <c r="A68" s="60">
        <v>35</v>
      </c>
      <c r="B68" s="297">
        <v>45231</v>
      </c>
      <c r="C68" s="296">
        <f t="shared" si="0"/>
        <v>50000</v>
      </c>
      <c r="D68" s="296">
        <f t="shared" si="1"/>
        <v>6081</v>
      </c>
      <c r="E68" s="296">
        <f t="shared" si="2"/>
        <v>43919</v>
      </c>
      <c r="F68" s="296">
        <f t="shared" si="3"/>
        <v>1172283</v>
      </c>
      <c r="G68" s="302"/>
      <c r="H68" s="301"/>
      <c r="I68" s="303"/>
      <c r="J68" s="302"/>
      <c r="K68" s="304"/>
    </row>
    <row r="69" spans="1:11" x14ac:dyDescent="0.3">
      <c r="A69" s="60">
        <v>36</v>
      </c>
      <c r="B69" s="297">
        <v>45261</v>
      </c>
      <c r="C69" s="296">
        <f t="shared" si="0"/>
        <v>50000</v>
      </c>
      <c r="D69" s="296">
        <f t="shared" si="1"/>
        <v>5861</v>
      </c>
      <c r="E69" s="296">
        <f t="shared" si="2"/>
        <v>44139</v>
      </c>
      <c r="F69" s="296">
        <f t="shared" si="3"/>
        <v>1128144</v>
      </c>
      <c r="G69" s="302"/>
      <c r="H69" s="301"/>
      <c r="I69" s="303"/>
      <c r="J69" s="302"/>
      <c r="K69" s="304"/>
    </row>
    <row r="70" spans="1:11" x14ac:dyDescent="0.3">
      <c r="A70" s="60">
        <v>37</v>
      </c>
      <c r="B70" s="297">
        <v>45292</v>
      </c>
      <c r="C70" s="296">
        <f t="shared" si="0"/>
        <v>50000</v>
      </c>
      <c r="D70" s="296">
        <f t="shared" si="1"/>
        <v>5641</v>
      </c>
      <c r="E70" s="296">
        <f t="shared" si="2"/>
        <v>44359</v>
      </c>
      <c r="F70" s="296">
        <f t="shared" si="3"/>
        <v>1083785</v>
      </c>
      <c r="G70" s="302"/>
      <c r="H70" s="301"/>
      <c r="I70" s="303"/>
      <c r="J70" s="302"/>
      <c r="K70" s="304"/>
    </row>
    <row r="71" spans="1:11" x14ac:dyDescent="0.3">
      <c r="A71" s="60">
        <v>38</v>
      </c>
      <c r="B71" s="297">
        <v>45323</v>
      </c>
      <c r="C71" s="296">
        <f t="shared" si="0"/>
        <v>50000</v>
      </c>
      <c r="D71" s="296">
        <f t="shared" si="1"/>
        <v>5419</v>
      </c>
      <c r="E71" s="296">
        <f t="shared" si="2"/>
        <v>44581</v>
      </c>
      <c r="F71" s="296">
        <f t="shared" si="3"/>
        <v>1039204</v>
      </c>
      <c r="G71" s="302"/>
      <c r="H71" s="301"/>
      <c r="I71" s="303"/>
      <c r="J71" s="302"/>
      <c r="K71" s="304"/>
    </row>
    <row r="72" spans="1:11" x14ac:dyDescent="0.3">
      <c r="A72" s="60">
        <v>39</v>
      </c>
      <c r="B72" s="297">
        <v>45352</v>
      </c>
      <c r="C72" s="296">
        <f t="shared" si="0"/>
        <v>50000</v>
      </c>
      <c r="D72" s="296">
        <f t="shared" si="1"/>
        <v>5196</v>
      </c>
      <c r="E72" s="296">
        <f t="shared" si="2"/>
        <v>44804</v>
      </c>
      <c r="F72" s="296">
        <f t="shared" si="3"/>
        <v>994400</v>
      </c>
      <c r="G72" s="302"/>
      <c r="H72" s="301"/>
      <c r="I72" s="303"/>
      <c r="J72" s="302"/>
      <c r="K72" s="304"/>
    </row>
    <row r="73" spans="1:11" x14ac:dyDescent="0.3">
      <c r="A73" s="60">
        <v>40</v>
      </c>
      <c r="B73" s="297">
        <v>45383</v>
      </c>
      <c r="C73" s="296">
        <f t="shared" si="0"/>
        <v>50000</v>
      </c>
      <c r="D73" s="296">
        <f t="shared" si="1"/>
        <v>4972</v>
      </c>
      <c r="E73" s="296">
        <f t="shared" si="2"/>
        <v>45028</v>
      </c>
      <c r="F73" s="296">
        <f t="shared" si="3"/>
        <v>949372</v>
      </c>
      <c r="G73" s="302"/>
      <c r="H73" s="301"/>
      <c r="I73" s="303"/>
      <c r="J73" s="302"/>
      <c r="K73" s="304"/>
    </row>
    <row r="74" spans="1:11" x14ac:dyDescent="0.3">
      <c r="A74" s="60">
        <v>41</v>
      </c>
      <c r="B74" s="297">
        <v>45413</v>
      </c>
      <c r="C74" s="296">
        <f t="shared" si="0"/>
        <v>50000</v>
      </c>
      <c r="D74" s="296">
        <f t="shared" si="1"/>
        <v>4747</v>
      </c>
      <c r="E74" s="296">
        <f t="shared" si="2"/>
        <v>45253</v>
      </c>
      <c r="F74" s="296">
        <f t="shared" si="3"/>
        <v>904119</v>
      </c>
      <c r="G74" s="302"/>
      <c r="H74" s="301"/>
      <c r="I74" s="303"/>
      <c r="J74" s="302"/>
      <c r="K74" s="304"/>
    </row>
    <row r="75" spans="1:11" x14ac:dyDescent="0.3">
      <c r="A75" s="60">
        <v>42</v>
      </c>
      <c r="B75" s="298">
        <v>45444</v>
      </c>
      <c r="C75" s="299">
        <f t="shared" si="0"/>
        <v>50000</v>
      </c>
      <c r="D75" s="299">
        <f t="shared" si="1"/>
        <v>4521</v>
      </c>
      <c r="E75" s="299">
        <f t="shared" si="2"/>
        <v>45479</v>
      </c>
      <c r="F75" s="299">
        <f t="shared" si="3"/>
        <v>858640</v>
      </c>
      <c r="G75" s="302"/>
      <c r="H75" s="301"/>
      <c r="I75" s="303"/>
      <c r="J75" s="302"/>
      <c r="K75" s="304"/>
    </row>
    <row r="76" spans="1:11" x14ac:dyDescent="0.3">
      <c r="A76" s="60">
        <v>43</v>
      </c>
      <c r="B76" s="297">
        <v>45474</v>
      </c>
      <c r="C76" s="296">
        <f t="shared" si="0"/>
        <v>50000</v>
      </c>
      <c r="D76" s="296">
        <f t="shared" si="1"/>
        <v>4293</v>
      </c>
      <c r="E76" s="296">
        <f t="shared" si="2"/>
        <v>45707</v>
      </c>
      <c r="F76" s="296">
        <f t="shared" si="3"/>
        <v>812933</v>
      </c>
      <c r="G76" s="302"/>
      <c r="H76" s="301"/>
      <c r="I76" s="303"/>
      <c r="J76" s="302"/>
      <c r="K76" s="304"/>
    </row>
    <row r="77" spans="1:11" x14ac:dyDescent="0.3">
      <c r="A77" s="60">
        <v>44</v>
      </c>
      <c r="B77" s="297">
        <v>45505</v>
      </c>
      <c r="C77" s="296">
        <f t="shared" si="0"/>
        <v>50000</v>
      </c>
      <c r="D77" s="296">
        <f t="shared" si="1"/>
        <v>4065</v>
      </c>
      <c r="E77" s="296">
        <f t="shared" si="2"/>
        <v>45935</v>
      </c>
      <c r="F77" s="296">
        <f t="shared" si="3"/>
        <v>766998</v>
      </c>
      <c r="G77" s="302"/>
      <c r="H77" s="301"/>
      <c r="I77" s="303"/>
      <c r="J77" s="302"/>
      <c r="K77" s="304"/>
    </row>
    <row r="78" spans="1:11" x14ac:dyDescent="0.3">
      <c r="A78" s="60">
        <v>45</v>
      </c>
      <c r="B78" s="297">
        <v>45536</v>
      </c>
      <c r="C78" s="296">
        <f t="shared" si="0"/>
        <v>50000</v>
      </c>
      <c r="D78" s="296">
        <f t="shared" si="1"/>
        <v>3835</v>
      </c>
      <c r="E78" s="296">
        <f t="shared" si="2"/>
        <v>46165</v>
      </c>
      <c r="F78" s="296">
        <f t="shared" si="3"/>
        <v>720833</v>
      </c>
      <c r="G78" s="302"/>
      <c r="H78" s="301"/>
      <c r="I78" s="303"/>
      <c r="J78" s="302"/>
      <c r="K78" s="304"/>
    </row>
    <row r="79" spans="1:11" x14ac:dyDescent="0.3">
      <c r="A79" s="60">
        <v>46</v>
      </c>
      <c r="B79" s="297">
        <v>45566</v>
      </c>
      <c r="C79" s="296">
        <f t="shared" si="0"/>
        <v>50000</v>
      </c>
      <c r="D79" s="296">
        <f t="shared" si="1"/>
        <v>3604</v>
      </c>
      <c r="E79" s="296">
        <f t="shared" si="2"/>
        <v>46396</v>
      </c>
      <c r="F79" s="296">
        <f t="shared" si="3"/>
        <v>674437</v>
      </c>
      <c r="G79" s="302"/>
      <c r="H79" s="301"/>
      <c r="I79" s="303"/>
      <c r="J79" s="302"/>
      <c r="K79" s="304"/>
    </row>
    <row r="80" spans="1:11" x14ac:dyDescent="0.3">
      <c r="A80" s="60">
        <v>47</v>
      </c>
      <c r="B80" s="297">
        <v>45597</v>
      </c>
      <c r="C80" s="296">
        <f t="shared" si="0"/>
        <v>50000</v>
      </c>
      <c r="D80" s="296">
        <f t="shared" si="1"/>
        <v>3372</v>
      </c>
      <c r="E80" s="296">
        <f t="shared" si="2"/>
        <v>46628</v>
      </c>
      <c r="F80" s="296">
        <f t="shared" si="3"/>
        <v>627809</v>
      </c>
      <c r="G80" s="302"/>
      <c r="H80" s="301"/>
      <c r="I80" s="303"/>
      <c r="J80" s="302"/>
      <c r="K80" s="304"/>
    </row>
    <row r="81" spans="1:11" x14ac:dyDescent="0.3">
      <c r="A81" s="60">
        <v>48</v>
      </c>
      <c r="B81" s="297">
        <v>45627</v>
      </c>
      <c r="C81" s="296">
        <f t="shared" si="0"/>
        <v>50000</v>
      </c>
      <c r="D81" s="296">
        <f t="shared" si="1"/>
        <v>3139</v>
      </c>
      <c r="E81" s="296">
        <f t="shared" si="2"/>
        <v>46861</v>
      </c>
      <c r="F81" s="296">
        <f t="shared" si="3"/>
        <v>580948</v>
      </c>
      <c r="G81" s="302"/>
      <c r="H81" s="301"/>
      <c r="I81" s="303"/>
      <c r="J81" s="302"/>
      <c r="K81" s="304"/>
    </row>
    <row r="82" spans="1:11" x14ac:dyDescent="0.3">
      <c r="A82" s="60">
        <v>49</v>
      </c>
      <c r="B82" s="297">
        <v>45658</v>
      </c>
      <c r="C82" s="296">
        <f t="shared" si="0"/>
        <v>50000</v>
      </c>
      <c r="D82" s="296">
        <f t="shared" si="1"/>
        <v>2905</v>
      </c>
      <c r="E82" s="296">
        <f t="shared" si="2"/>
        <v>47095</v>
      </c>
      <c r="F82" s="296">
        <f t="shared" si="3"/>
        <v>533853</v>
      </c>
      <c r="G82" s="302"/>
      <c r="H82" s="301"/>
      <c r="I82" s="303"/>
      <c r="J82" s="302"/>
      <c r="K82" s="304"/>
    </row>
    <row r="83" spans="1:11" x14ac:dyDescent="0.3">
      <c r="A83" s="60">
        <v>50</v>
      </c>
      <c r="B83" s="297">
        <v>45689</v>
      </c>
      <c r="C83" s="296">
        <f>+C82</f>
        <v>50000</v>
      </c>
      <c r="D83" s="296">
        <f t="shared" si="1"/>
        <v>2669</v>
      </c>
      <c r="E83" s="296">
        <f t="shared" si="2"/>
        <v>47331</v>
      </c>
      <c r="F83" s="296">
        <f t="shared" si="3"/>
        <v>486522</v>
      </c>
      <c r="G83" s="302"/>
      <c r="H83" s="301"/>
      <c r="I83" s="303"/>
      <c r="J83" s="302"/>
      <c r="K83" s="304"/>
    </row>
    <row r="84" spans="1:11" x14ac:dyDescent="0.3">
      <c r="A84" s="60">
        <v>51</v>
      </c>
      <c r="B84" s="297">
        <v>45717</v>
      </c>
      <c r="C84" s="296">
        <f t="shared" ref="C84:C91" si="4">+C83</f>
        <v>50000</v>
      </c>
      <c r="D84" s="296">
        <f t="shared" si="1"/>
        <v>2433</v>
      </c>
      <c r="E84" s="296">
        <f t="shared" si="2"/>
        <v>47567</v>
      </c>
      <c r="F84" s="296">
        <f t="shared" si="3"/>
        <v>438955</v>
      </c>
      <c r="G84" s="302"/>
      <c r="H84" s="301"/>
      <c r="I84" s="303"/>
      <c r="J84" s="302"/>
      <c r="K84" s="304"/>
    </row>
    <row r="85" spans="1:11" x14ac:dyDescent="0.3">
      <c r="A85" s="60">
        <v>52</v>
      </c>
      <c r="B85" s="297">
        <v>45748</v>
      </c>
      <c r="C85" s="296">
        <f t="shared" si="4"/>
        <v>50000</v>
      </c>
      <c r="D85" s="296">
        <f t="shared" si="1"/>
        <v>2195</v>
      </c>
      <c r="E85" s="296">
        <f t="shared" si="2"/>
        <v>47805</v>
      </c>
      <c r="F85" s="296">
        <f t="shared" si="3"/>
        <v>391150</v>
      </c>
      <c r="G85" s="302"/>
      <c r="H85" s="301"/>
      <c r="I85" s="303"/>
      <c r="J85" s="302"/>
      <c r="K85" s="304"/>
    </row>
    <row r="86" spans="1:11" x14ac:dyDescent="0.3">
      <c r="A86" s="60">
        <v>53</v>
      </c>
      <c r="B86" s="297">
        <v>45778</v>
      </c>
      <c r="C86" s="296">
        <f t="shared" si="4"/>
        <v>50000</v>
      </c>
      <c r="D86" s="296">
        <f t="shared" si="1"/>
        <v>1956</v>
      </c>
      <c r="E86" s="296">
        <f t="shared" si="2"/>
        <v>48044</v>
      </c>
      <c r="F86" s="296">
        <f t="shared" si="3"/>
        <v>343106</v>
      </c>
      <c r="G86" s="302"/>
      <c r="H86" s="301"/>
      <c r="I86" s="303"/>
      <c r="J86" s="302"/>
      <c r="K86" s="304"/>
    </row>
    <row r="87" spans="1:11" x14ac:dyDescent="0.3">
      <c r="A87" s="146">
        <v>54</v>
      </c>
      <c r="B87" s="298">
        <v>45809</v>
      </c>
      <c r="C87" s="299">
        <f t="shared" si="4"/>
        <v>50000</v>
      </c>
      <c r="D87" s="299">
        <f t="shared" si="1"/>
        <v>1716</v>
      </c>
      <c r="E87" s="299">
        <f t="shared" si="2"/>
        <v>48284</v>
      </c>
      <c r="F87" s="299">
        <f t="shared" si="3"/>
        <v>294822</v>
      </c>
      <c r="G87" s="302"/>
      <c r="H87" s="301"/>
      <c r="I87" s="303"/>
      <c r="J87" s="302"/>
      <c r="K87" s="304"/>
    </row>
    <row r="88" spans="1:11" x14ac:dyDescent="0.3">
      <c r="A88" s="60">
        <v>55</v>
      </c>
      <c r="B88" s="297">
        <v>45839</v>
      </c>
      <c r="C88" s="296">
        <f t="shared" si="4"/>
        <v>50000</v>
      </c>
      <c r="D88" s="296">
        <f t="shared" si="1"/>
        <v>1474</v>
      </c>
      <c r="E88" s="296">
        <f t="shared" si="2"/>
        <v>48526</v>
      </c>
      <c r="F88" s="296">
        <f t="shared" si="3"/>
        <v>246296</v>
      </c>
      <c r="G88" s="302"/>
      <c r="H88" s="301"/>
      <c r="I88" s="303"/>
      <c r="J88" s="302"/>
      <c r="K88" s="304"/>
    </row>
    <row r="89" spans="1:11" x14ac:dyDescent="0.3">
      <c r="A89" s="60">
        <v>56</v>
      </c>
      <c r="B89" s="297">
        <v>45870</v>
      </c>
      <c r="C89" s="296">
        <f t="shared" si="4"/>
        <v>50000</v>
      </c>
      <c r="D89" s="296">
        <f t="shared" si="1"/>
        <v>1231</v>
      </c>
      <c r="E89" s="296">
        <f t="shared" si="2"/>
        <v>48769</v>
      </c>
      <c r="F89" s="296">
        <f t="shared" si="3"/>
        <v>197527</v>
      </c>
      <c r="G89" s="302"/>
      <c r="H89" s="301"/>
      <c r="I89" s="303"/>
      <c r="J89" s="302"/>
      <c r="K89" s="304"/>
    </row>
    <row r="90" spans="1:11" x14ac:dyDescent="0.3">
      <c r="A90" s="60">
        <v>57</v>
      </c>
      <c r="B90" s="297">
        <v>45901</v>
      </c>
      <c r="C90" s="296">
        <f t="shared" si="4"/>
        <v>50000</v>
      </c>
      <c r="D90" s="296">
        <f t="shared" si="1"/>
        <v>988</v>
      </c>
      <c r="E90" s="296">
        <f t="shared" si="2"/>
        <v>49012</v>
      </c>
      <c r="F90" s="296">
        <f t="shared" si="3"/>
        <v>148515</v>
      </c>
      <c r="G90" s="302"/>
      <c r="H90" s="301"/>
      <c r="I90" s="303"/>
      <c r="J90" s="302"/>
      <c r="K90" s="304"/>
    </row>
    <row r="91" spans="1:11" x14ac:dyDescent="0.3">
      <c r="A91" s="60">
        <v>58</v>
      </c>
      <c r="B91" s="297">
        <v>45931</v>
      </c>
      <c r="C91" s="296">
        <f t="shared" si="4"/>
        <v>50000</v>
      </c>
      <c r="D91" s="296">
        <f t="shared" si="1"/>
        <v>743</v>
      </c>
      <c r="E91" s="296">
        <f t="shared" si="2"/>
        <v>49257</v>
      </c>
      <c r="F91" s="296">
        <f t="shared" si="3"/>
        <v>99258</v>
      </c>
      <c r="G91" s="302"/>
      <c r="H91" s="301"/>
      <c r="I91" s="303"/>
      <c r="J91" s="302"/>
      <c r="K91" s="304"/>
    </row>
    <row r="92" spans="1:11" x14ac:dyDescent="0.3">
      <c r="A92" s="60">
        <v>59</v>
      </c>
      <c r="B92" s="297">
        <v>45962</v>
      </c>
      <c r="C92" s="296">
        <f>+C91</f>
        <v>50000</v>
      </c>
      <c r="D92" s="296">
        <f t="shared" si="1"/>
        <v>496</v>
      </c>
      <c r="E92" s="296">
        <f t="shared" si="2"/>
        <v>49504</v>
      </c>
      <c r="F92" s="296">
        <f t="shared" si="3"/>
        <v>49754</v>
      </c>
      <c r="G92" s="302"/>
      <c r="H92" s="301"/>
      <c r="I92" s="303"/>
      <c r="J92" s="302"/>
      <c r="K92" s="304"/>
    </row>
    <row r="93" spans="1:11" x14ac:dyDescent="0.3">
      <c r="A93" s="202">
        <v>60</v>
      </c>
      <c r="B93" s="298">
        <v>45992</v>
      </c>
      <c r="C93" s="299">
        <f>+C92+3</f>
        <v>50003</v>
      </c>
      <c r="D93" s="299">
        <f t="shared" ref="D93" si="5">ROUND(+F92*$D$32,0)</f>
        <v>249</v>
      </c>
      <c r="E93" s="299">
        <f t="shared" ref="E93" si="6">+C93-D93</f>
        <v>49754</v>
      </c>
      <c r="F93" s="299">
        <f t="shared" ref="F93" si="7">+F92-E93</f>
        <v>0</v>
      </c>
      <c r="G93" s="302"/>
      <c r="H93" s="301"/>
      <c r="I93" s="303"/>
      <c r="J93" s="302"/>
      <c r="K93" s="304"/>
    </row>
    <row r="94" spans="1:11" x14ac:dyDescent="0.3">
      <c r="B94" s="48"/>
      <c r="C94" s="48"/>
      <c r="D94" s="48"/>
      <c r="E94" s="48"/>
      <c r="F94" s="286"/>
      <c r="G94" s="48"/>
      <c r="H94" s="48"/>
      <c r="I94" s="48"/>
      <c r="J94" s="48"/>
      <c r="K94" s="280"/>
    </row>
  </sheetData>
  <mergeCells count="8">
    <mergeCell ref="J11:P11"/>
    <mergeCell ref="D30:D31"/>
    <mergeCell ref="B28:F29"/>
    <mergeCell ref="H28:I30"/>
    <mergeCell ref="B30:B32"/>
    <mergeCell ref="C30:C31"/>
    <mergeCell ref="E30:E32"/>
    <mergeCell ref="F30:F31"/>
  </mergeCells>
  <pageMargins left="0.7" right="0.7" top="0.75" bottom="0.75" header="0.3" footer="0.3"/>
  <pageSetup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workbookViewId="0"/>
  </sheetViews>
  <sheetFormatPr defaultColWidth="9" defaultRowHeight="18.75" x14ac:dyDescent="0.3"/>
  <cols>
    <col min="1" max="1" width="4.140625" style="60" customWidth="1"/>
    <col min="2" max="2" width="17" style="60" customWidth="1"/>
    <col min="3" max="3" width="11.7109375" style="60" bestFit="1" customWidth="1"/>
    <col min="4" max="4" width="13.85546875" style="60" bestFit="1" customWidth="1"/>
    <col min="5" max="5" width="11.28515625" style="60" bestFit="1" customWidth="1"/>
    <col min="6" max="6" width="16.28515625" style="307" customWidth="1"/>
    <col min="7" max="7" width="4.7109375" style="60" customWidth="1"/>
    <col min="8" max="8" width="14.5703125" style="60" customWidth="1"/>
    <col min="9" max="9" width="16.140625" style="60" customWidth="1"/>
    <col min="10" max="10" width="13" style="280" customWidth="1"/>
    <col min="11" max="11" width="10.5703125" style="60" bestFit="1" customWidth="1"/>
    <col min="12" max="16384" width="9" style="60"/>
  </cols>
  <sheetData>
    <row r="1" spans="1:15" x14ac:dyDescent="0.3">
      <c r="A1" s="305" t="s">
        <v>562</v>
      </c>
      <c r="F1" s="269"/>
      <c r="G1" s="84"/>
    </row>
    <row r="3" spans="1:15" x14ac:dyDescent="0.3">
      <c r="A3" s="306" t="s">
        <v>565</v>
      </c>
    </row>
    <row r="4" spans="1:15" x14ac:dyDescent="0.3">
      <c r="A4" s="306"/>
    </row>
    <row r="5" spans="1:15" x14ac:dyDescent="0.3">
      <c r="A5" s="306"/>
    </row>
    <row r="6" spans="1:15" s="280" customFormat="1" ht="14.25" customHeight="1" x14ac:dyDescent="0.3">
      <c r="A6" s="60"/>
      <c r="B6" s="144" t="s">
        <v>564</v>
      </c>
      <c r="C6" s="144"/>
      <c r="D6" s="144"/>
      <c r="E6" s="276"/>
      <c r="F6" s="144" t="s">
        <v>569</v>
      </c>
      <c r="G6" s="144"/>
      <c r="H6" s="144"/>
      <c r="I6" s="144"/>
      <c r="K6" s="60"/>
      <c r="L6" s="60"/>
      <c r="M6" s="60"/>
      <c r="N6" s="60"/>
      <c r="O6" s="60"/>
    </row>
    <row r="7" spans="1:15" s="280" customFormat="1" x14ac:dyDescent="0.3">
      <c r="A7" s="60"/>
      <c r="B7" s="69" t="s">
        <v>541</v>
      </c>
      <c r="C7" s="69"/>
      <c r="D7" s="138">
        <f>+'Example 6 Assumptions Summary'!F13</f>
        <v>10000</v>
      </c>
      <c r="E7" s="278"/>
      <c r="F7" s="69" t="s">
        <v>126</v>
      </c>
      <c r="G7" s="48"/>
      <c r="H7" s="48"/>
      <c r="I7" s="279">
        <f>+D10</f>
        <v>509842</v>
      </c>
      <c r="K7" s="60"/>
      <c r="L7" s="60"/>
      <c r="M7" s="60"/>
      <c r="N7" s="60"/>
      <c r="O7" s="60"/>
    </row>
    <row r="8" spans="1:15" s="280" customFormat="1" x14ac:dyDescent="0.3">
      <c r="A8" s="60"/>
      <c r="B8" s="69" t="s">
        <v>466</v>
      </c>
      <c r="C8" s="49"/>
      <c r="D8" s="49">
        <v>59</v>
      </c>
      <c r="F8" s="69" t="s">
        <v>545</v>
      </c>
      <c r="G8" s="48"/>
      <c r="H8" s="48"/>
      <c r="I8" s="211">
        <f>+D7</f>
        <v>10000</v>
      </c>
      <c r="K8" s="60"/>
      <c r="L8" s="60"/>
      <c r="M8" s="60"/>
      <c r="N8" s="60"/>
      <c r="O8" s="60"/>
    </row>
    <row r="9" spans="1:15" s="280" customFormat="1" ht="19.5" thickBot="1" x14ac:dyDescent="0.35">
      <c r="A9" s="60"/>
      <c r="B9" s="69" t="s">
        <v>125</v>
      </c>
      <c r="C9" s="89"/>
      <c r="D9" s="89">
        <f>6%/12</f>
        <v>5.0000000000000001E-3</v>
      </c>
      <c r="F9" s="282" t="s">
        <v>544</v>
      </c>
      <c r="G9" s="48"/>
      <c r="H9" s="48"/>
      <c r="I9" s="283">
        <f>SUM(I7:I8)</f>
        <v>519842</v>
      </c>
      <c r="K9" s="60"/>
      <c r="L9" s="60"/>
      <c r="M9" s="60"/>
      <c r="N9" s="60"/>
      <c r="O9" s="60"/>
    </row>
    <row r="10" spans="1:15" s="280" customFormat="1" ht="20.25" thickTop="1" thickBot="1" x14ac:dyDescent="0.35">
      <c r="A10" s="60"/>
      <c r="B10" s="69" t="s">
        <v>473</v>
      </c>
      <c r="C10" s="56"/>
      <c r="D10" s="284">
        <f>ROUND(-PV(D9,D8,D7),0)</f>
        <v>509842</v>
      </c>
      <c r="F10" s="60"/>
      <c r="G10" s="48"/>
      <c r="H10" s="48"/>
      <c r="K10" s="60"/>
      <c r="L10" s="60"/>
      <c r="M10" s="60"/>
      <c r="N10" s="60"/>
      <c r="O10" s="60"/>
    </row>
    <row r="11" spans="1:15" s="280" customFormat="1" ht="19.5" thickTop="1" x14ac:dyDescent="0.3">
      <c r="A11" s="60"/>
      <c r="B11" s="69"/>
      <c r="C11" s="56"/>
      <c r="D11" s="336"/>
      <c r="F11" s="152"/>
      <c r="G11" s="48"/>
      <c r="H11" s="48"/>
      <c r="K11" s="60"/>
      <c r="L11" s="60"/>
      <c r="M11" s="60"/>
      <c r="N11" s="60"/>
      <c r="O11" s="60"/>
    </row>
    <row r="12" spans="1:15" s="280" customFormat="1" x14ac:dyDescent="0.3">
      <c r="A12" s="60"/>
      <c r="B12" s="69"/>
      <c r="C12" s="56"/>
      <c r="D12" s="336"/>
      <c r="F12" s="285"/>
      <c r="G12" s="48"/>
      <c r="H12" s="48"/>
      <c r="K12" s="60"/>
      <c r="L12" s="60"/>
      <c r="M12" s="60"/>
      <c r="N12" s="60"/>
      <c r="O12" s="60"/>
    </row>
    <row r="13" spans="1:15" s="280" customFormat="1" x14ac:dyDescent="0.3">
      <c r="A13" s="60"/>
      <c r="B13" s="48"/>
      <c r="C13" s="48"/>
      <c r="D13" s="48"/>
      <c r="E13" s="49"/>
      <c r="F13" s="282" t="s">
        <v>682</v>
      </c>
      <c r="G13" s="8"/>
      <c r="H13" s="8"/>
      <c r="I13" s="279">
        <f>SUM(C23:C28)</f>
        <v>60000</v>
      </c>
      <c r="L13" s="60"/>
      <c r="M13" s="60"/>
      <c r="N13" s="60"/>
      <c r="O13" s="60"/>
    </row>
    <row r="14" spans="1:15" s="280" customFormat="1" x14ac:dyDescent="0.3">
      <c r="A14" s="60"/>
      <c r="B14" s="48"/>
      <c r="C14" s="48"/>
      <c r="D14" s="48"/>
      <c r="E14" s="49"/>
      <c r="F14" s="96"/>
      <c r="G14" s="96"/>
      <c r="H14" s="282"/>
      <c r="I14" s="8"/>
      <c r="J14" s="116"/>
      <c r="K14" s="279"/>
      <c r="L14" s="60"/>
      <c r="M14" s="60"/>
      <c r="N14" s="60"/>
      <c r="O14" s="60"/>
    </row>
    <row r="15" spans="1:15" s="280" customFormat="1" x14ac:dyDescent="0.3">
      <c r="A15" s="60"/>
      <c r="B15" s="48"/>
      <c r="C15" s="48"/>
      <c r="D15" s="48"/>
      <c r="E15" s="49"/>
      <c r="F15" s="96"/>
      <c r="G15" s="96"/>
      <c r="H15" s="282"/>
      <c r="I15" s="8"/>
      <c r="J15" s="116"/>
      <c r="K15" s="279"/>
      <c r="L15" s="60"/>
      <c r="M15" s="60"/>
      <c r="N15" s="60"/>
      <c r="O15" s="60"/>
    </row>
    <row r="16" spans="1:15" x14ac:dyDescent="0.3">
      <c r="B16" s="48"/>
      <c r="C16" s="48"/>
      <c r="D16" s="48"/>
      <c r="E16" s="48"/>
      <c r="F16" s="286"/>
      <c r="G16" s="48"/>
      <c r="I16" s="287">
        <f>ROUND(SUM(I23:I82)-I9,0)</f>
        <v>0</v>
      </c>
    </row>
    <row r="17" spans="1:10" ht="19.5" customHeight="1" x14ac:dyDescent="0.3">
      <c r="B17" s="865" t="s">
        <v>566</v>
      </c>
      <c r="C17" s="866"/>
      <c r="D17" s="866"/>
      <c r="E17" s="866"/>
      <c r="F17" s="867"/>
      <c r="G17" s="309"/>
      <c r="H17" s="871" t="s">
        <v>567</v>
      </c>
      <c r="I17" s="872"/>
    </row>
    <row r="18" spans="1:10" s="288" customFormat="1" ht="15.4" customHeight="1" x14ac:dyDescent="0.3">
      <c r="B18" s="868"/>
      <c r="C18" s="869"/>
      <c r="D18" s="869"/>
      <c r="E18" s="869"/>
      <c r="F18" s="870"/>
      <c r="G18" s="309"/>
      <c r="H18" s="875"/>
      <c r="I18" s="876"/>
      <c r="J18" s="280"/>
    </row>
    <row r="19" spans="1:10" s="288" customFormat="1" ht="56.25" customHeight="1" x14ac:dyDescent="0.3">
      <c r="B19" s="877" t="s">
        <v>7</v>
      </c>
      <c r="C19" s="863" t="s">
        <v>542</v>
      </c>
      <c r="D19" s="863" t="s">
        <v>543</v>
      </c>
      <c r="E19" s="877" t="s">
        <v>34</v>
      </c>
      <c r="F19" s="880" t="s">
        <v>33</v>
      </c>
      <c r="H19" s="332"/>
      <c r="I19" s="337" t="s">
        <v>76</v>
      </c>
    </row>
    <row r="20" spans="1:10" s="288" customFormat="1" x14ac:dyDescent="0.3">
      <c r="B20" s="878"/>
      <c r="C20" s="864"/>
      <c r="D20" s="864"/>
      <c r="E20" s="878"/>
      <c r="F20" s="881"/>
      <c r="G20" s="310"/>
      <c r="H20" s="292" t="s">
        <v>129</v>
      </c>
      <c r="I20" s="289">
        <f>+I9</f>
        <v>519842</v>
      </c>
    </row>
    <row r="21" spans="1:10" s="288" customFormat="1" ht="19.149999999999999" customHeight="1" x14ac:dyDescent="0.3">
      <c r="B21" s="879"/>
      <c r="C21" s="290">
        <f>+D7</f>
        <v>10000</v>
      </c>
      <c r="D21" s="291">
        <f>+D9</f>
        <v>5.0000000000000001E-3</v>
      </c>
      <c r="E21" s="879"/>
      <c r="F21" s="290">
        <f>+D10</f>
        <v>509842</v>
      </c>
      <c r="G21" s="310"/>
      <c r="H21" s="292" t="s">
        <v>128</v>
      </c>
      <c r="I21" s="293">
        <v>5</v>
      </c>
    </row>
    <row r="22" spans="1:10" x14ac:dyDescent="0.3">
      <c r="B22" s="171"/>
      <c r="C22" s="171"/>
      <c r="D22" s="171"/>
      <c r="E22" s="294"/>
      <c r="F22" s="171"/>
      <c r="G22" s="49"/>
      <c r="H22" s="295"/>
      <c r="I22" s="296"/>
    </row>
    <row r="23" spans="1:10" x14ac:dyDescent="0.3">
      <c r="A23" s="60">
        <v>1</v>
      </c>
      <c r="B23" s="297">
        <v>44197</v>
      </c>
      <c r="C23" s="171">
        <f>+C21</f>
        <v>10000</v>
      </c>
      <c r="D23" s="171"/>
      <c r="E23" s="296">
        <f>+C23-D23</f>
        <v>10000</v>
      </c>
      <c r="F23" s="296">
        <f>+D10</f>
        <v>509842</v>
      </c>
      <c r="G23" s="286"/>
      <c r="H23" s="295" t="s">
        <v>102</v>
      </c>
      <c r="I23" s="296">
        <f>ROUND(+$I$20/$I$21/2,0)+1</f>
        <v>51985</v>
      </c>
    </row>
    <row r="24" spans="1:10" x14ac:dyDescent="0.3">
      <c r="A24" s="60">
        <v>2</v>
      </c>
      <c r="B24" s="297">
        <v>44228</v>
      </c>
      <c r="C24" s="296">
        <f>+$C$21</f>
        <v>10000</v>
      </c>
      <c r="D24" s="296">
        <f>ROUND(+F23*$D$21,0)</f>
        <v>2549</v>
      </c>
      <c r="E24" s="296">
        <f>+C24-D24</f>
        <v>7451</v>
      </c>
      <c r="F24" s="296">
        <f>+F23-E24</f>
        <v>502391</v>
      </c>
      <c r="G24" s="286"/>
      <c r="H24" s="295">
        <v>2022</v>
      </c>
      <c r="I24" s="296">
        <f>ROUND(+$I$20/$I$21,0)</f>
        <v>103968</v>
      </c>
    </row>
    <row r="25" spans="1:10" x14ac:dyDescent="0.3">
      <c r="A25" s="60">
        <v>3</v>
      </c>
      <c r="B25" s="297">
        <v>44256</v>
      </c>
      <c r="C25" s="296">
        <f t="shared" ref="C25:C71" si="0">+C24</f>
        <v>10000</v>
      </c>
      <c r="D25" s="296">
        <f t="shared" ref="D25:D72" si="1">ROUND(+F24*$D$21,0)</f>
        <v>2512</v>
      </c>
      <c r="E25" s="296">
        <f t="shared" ref="E25:E72" si="2">+C25-D25</f>
        <v>7488</v>
      </c>
      <c r="F25" s="296">
        <f t="shared" ref="F25:F72" si="3">+F24-E25</f>
        <v>494903</v>
      </c>
      <c r="G25" s="286"/>
      <c r="H25" s="295">
        <v>2023</v>
      </c>
      <c r="I25" s="296">
        <f t="shared" ref="I25:I27" si="4">ROUND(+$I$20/$I$21,0)</f>
        <v>103968</v>
      </c>
    </row>
    <row r="26" spans="1:10" x14ac:dyDescent="0.3">
      <c r="A26" s="60">
        <v>4</v>
      </c>
      <c r="B26" s="297">
        <v>44287</v>
      </c>
      <c r="C26" s="296">
        <f t="shared" si="0"/>
        <v>10000</v>
      </c>
      <c r="D26" s="296">
        <f t="shared" si="1"/>
        <v>2475</v>
      </c>
      <c r="E26" s="296">
        <f t="shared" si="2"/>
        <v>7525</v>
      </c>
      <c r="F26" s="296">
        <f t="shared" si="3"/>
        <v>487378</v>
      </c>
      <c r="G26" s="286"/>
      <c r="H26" s="295">
        <v>2024</v>
      </c>
      <c r="I26" s="296">
        <f t="shared" si="4"/>
        <v>103968</v>
      </c>
    </row>
    <row r="27" spans="1:10" x14ac:dyDescent="0.3">
      <c r="A27" s="60">
        <v>5</v>
      </c>
      <c r="B27" s="297">
        <v>44317</v>
      </c>
      <c r="C27" s="296">
        <f t="shared" si="0"/>
        <v>10000</v>
      </c>
      <c r="D27" s="296">
        <f t="shared" si="1"/>
        <v>2437</v>
      </c>
      <c r="E27" s="296">
        <f t="shared" si="2"/>
        <v>7563</v>
      </c>
      <c r="F27" s="296">
        <f t="shared" si="3"/>
        <v>479815</v>
      </c>
      <c r="G27" s="286"/>
      <c r="H27" s="295">
        <v>2025</v>
      </c>
      <c r="I27" s="296">
        <f t="shared" si="4"/>
        <v>103968</v>
      </c>
    </row>
    <row r="28" spans="1:10" x14ac:dyDescent="0.3">
      <c r="A28" s="202">
        <v>6</v>
      </c>
      <c r="B28" s="298">
        <v>44348</v>
      </c>
      <c r="C28" s="299">
        <f t="shared" si="0"/>
        <v>10000</v>
      </c>
      <c r="D28" s="299">
        <f t="shared" si="1"/>
        <v>2399</v>
      </c>
      <c r="E28" s="299">
        <f t="shared" si="2"/>
        <v>7601</v>
      </c>
      <c r="F28" s="299">
        <f t="shared" si="3"/>
        <v>472214</v>
      </c>
      <c r="G28" s="286"/>
      <c r="H28" s="300">
        <v>2026</v>
      </c>
      <c r="I28" s="299">
        <f>ROUND(+$I$20/$I$21/2,0)+1</f>
        <v>51985</v>
      </c>
    </row>
    <row r="29" spans="1:10" x14ac:dyDescent="0.3">
      <c r="A29" s="60">
        <v>7</v>
      </c>
      <c r="B29" s="297">
        <v>44378</v>
      </c>
      <c r="C29" s="296">
        <f t="shared" si="0"/>
        <v>10000</v>
      </c>
      <c r="D29" s="296">
        <f t="shared" si="1"/>
        <v>2361</v>
      </c>
      <c r="E29" s="296">
        <f t="shared" si="2"/>
        <v>7639</v>
      </c>
      <c r="F29" s="296">
        <f t="shared" si="3"/>
        <v>464575</v>
      </c>
      <c r="G29" s="286"/>
      <c r="H29" s="301"/>
      <c r="I29" s="286"/>
    </row>
    <row r="30" spans="1:10" x14ac:dyDescent="0.3">
      <c r="A30" s="60">
        <v>8</v>
      </c>
      <c r="B30" s="297">
        <v>44409</v>
      </c>
      <c r="C30" s="296">
        <f t="shared" si="0"/>
        <v>10000</v>
      </c>
      <c r="D30" s="296">
        <f t="shared" si="1"/>
        <v>2323</v>
      </c>
      <c r="E30" s="296">
        <f t="shared" si="2"/>
        <v>7677</v>
      </c>
      <c r="F30" s="296">
        <f t="shared" si="3"/>
        <v>456898</v>
      </c>
      <c r="G30" s="286"/>
      <c r="H30" s="301"/>
      <c r="I30" s="286"/>
    </row>
    <row r="31" spans="1:10" x14ac:dyDescent="0.3">
      <c r="A31" s="60">
        <v>9</v>
      </c>
      <c r="B31" s="297">
        <v>44440</v>
      </c>
      <c r="C31" s="296">
        <f t="shared" si="0"/>
        <v>10000</v>
      </c>
      <c r="D31" s="296">
        <f t="shared" si="1"/>
        <v>2284</v>
      </c>
      <c r="E31" s="296">
        <f t="shared" si="2"/>
        <v>7716</v>
      </c>
      <c r="F31" s="296">
        <f t="shared" si="3"/>
        <v>449182</v>
      </c>
      <c r="G31" s="286"/>
      <c r="H31" s="301"/>
      <c r="I31" s="286"/>
    </row>
    <row r="32" spans="1:10" x14ac:dyDescent="0.3">
      <c r="A32" s="60">
        <v>10</v>
      </c>
      <c r="B32" s="297">
        <v>44470</v>
      </c>
      <c r="C32" s="296">
        <f t="shared" si="0"/>
        <v>10000</v>
      </c>
      <c r="D32" s="296">
        <f t="shared" si="1"/>
        <v>2246</v>
      </c>
      <c r="E32" s="296">
        <f t="shared" si="2"/>
        <v>7754</v>
      </c>
      <c r="F32" s="296">
        <f t="shared" si="3"/>
        <v>441428</v>
      </c>
      <c r="G32" s="286"/>
      <c r="H32" s="301"/>
      <c r="I32" s="286"/>
    </row>
    <row r="33" spans="1:10" x14ac:dyDescent="0.3">
      <c r="A33" s="60">
        <v>11</v>
      </c>
      <c r="B33" s="297">
        <v>44501</v>
      </c>
      <c r="C33" s="296">
        <f>+C32</f>
        <v>10000</v>
      </c>
      <c r="D33" s="296">
        <f t="shared" si="1"/>
        <v>2207</v>
      </c>
      <c r="E33" s="296">
        <f t="shared" si="2"/>
        <v>7793</v>
      </c>
      <c r="F33" s="296">
        <f t="shared" si="3"/>
        <v>433635</v>
      </c>
      <c r="G33" s="286"/>
      <c r="H33" s="301"/>
      <c r="I33" s="286"/>
    </row>
    <row r="34" spans="1:10" x14ac:dyDescent="0.3">
      <c r="A34" s="60">
        <v>12</v>
      </c>
      <c r="B34" s="297">
        <v>44531</v>
      </c>
      <c r="C34" s="296">
        <f t="shared" si="0"/>
        <v>10000</v>
      </c>
      <c r="D34" s="296">
        <f t="shared" si="1"/>
        <v>2168</v>
      </c>
      <c r="E34" s="296">
        <f t="shared" si="2"/>
        <v>7832</v>
      </c>
      <c r="F34" s="296">
        <f t="shared" si="3"/>
        <v>425803</v>
      </c>
      <c r="G34" s="286"/>
      <c r="H34" s="301"/>
      <c r="I34" s="286"/>
    </row>
    <row r="35" spans="1:10" s="161" customFormat="1" x14ac:dyDescent="0.3">
      <c r="A35" s="60">
        <v>13</v>
      </c>
      <c r="B35" s="297">
        <v>44562</v>
      </c>
      <c r="C35" s="296">
        <f t="shared" si="0"/>
        <v>10000</v>
      </c>
      <c r="D35" s="296">
        <f t="shared" si="1"/>
        <v>2129</v>
      </c>
      <c r="E35" s="296">
        <f t="shared" si="2"/>
        <v>7871</v>
      </c>
      <c r="F35" s="296">
        <f t="shared" si="3"/>
        <v>417932</v>
      </c>
      <c r="G35" s="56"/>
      <c r="H35" s="301"/>
      <c r="I35" s="303"/>
      <c r="J35" s="304"/>
    </row>
    <row r="36" spans="1:10" s="161" customFormat="1" x14ac:dyDescent="0.3">
      <c r="A36" s="60">
        <v>14</v>
      </c>
      <c r="B36" s="297">
        <v>44593</v>
      </c>
      <c r="C36" s="296">
        <f t="shared" si="0"/>
        <v>10000</v>
      </c>
      <c r="D36" s="296">
        <f t="shared" si="1"/>
        <v>2090</v>
      </c>
      <c r="E36" s="296">
        <f t="shared" si="2"/>
        <v>7910</v>
      </c>
      <c r="F36" s="296">
        <f t="shared" si="3"/>
        <v>410022</v>
      </c>
      <c r="G36" s="56"/>
      <c r="H36" s="301"/>
      <c r="I36" s="303"/>
      <c r="J36" s="304"/>
    </row>
    <row r="37" spans="1:10" s="161" customFormat="1" x14ac:dyDescent="0.3">
      <c r="A37" s="60">
        <v>15</v>
      </c>
      <c r="B37" s="297">
        <v>44621</v>
      </c>
      <c r="C37" s="296">
        <f t="shared" si="0"/>
        <v>10000</v>
      </c>
      <c r="D37" s="296">
        <f t="shared" si="1"/>
        <v>2050</v>
      </c>
      <c r="E37" s="296">
        <f t="shared" si="2"/>
        <v>7950</v>
      </c>
      <c r="F37" s="296">
        <f t="shared" si="3"/>
        <v>402072</v>
      </c>
      <c r="G37" s="56"/>
      <c r="H37" s="301"/>
      <c r="I37" s="303"/>
      <c r="J37" s="304"/>
    </row>
    <row r="38" spans="1:10" s="161" customFormat="1" x14ac:dyDescent="0.3">
      <c r="A38" s="60">
        <v>16</v>
      </c>
      <c r="B38" s="297">
        <v>44652</v>
      </c>
      <c r="C38" s="296">
        <f t="shared" si="0"/>
        <v>10000</v>
      </c>
      <c r="D38" s="296">
        <f t="shared" si="1"/>
        <v>2010</v>
      </c>
      <c r="E38" s="296">
        <f t="shared" si="2"/>
        <v>7990</v>
      </c>
      <c r="F38" s="296">
        <f t="shared" si="3"/>
        <v>394082</v>
      </c>
      <c r="G38" s="56"/>
      <c r="H38" s="301"/>
      <c r="I38" s="303"/>
      <c r="J38" s="304"/>
    </row>
    <row r="39" spans="1:10" s="161" customFormat="1" x14ac:dyDescent="0.3">
      <c r="A39" s="60">
        <v>17</v>
      </c>
      <c r="B39" s="297">
        <v>44682</v>
      </c>
      <c r="C39" s="296">
        <f t="shared" si="0"/>
        <v>10000</v>
      </c>
      <c r="D39" s="296">
        <f t="shared" si="1"/>
        <v>1970</v>
      </c>
      <c r="E39" s="296">
        <f t="shared" si="2"/>
        <v>8030</v>
      </c>
      <c r="F39" s="296">
        <f t="shared" si="3"/>
        <v>386052</v>
      </c>
      <c r="G39" s="56"/>
      <c r="H39" s="301"/>
      <c r="I39" s="303"/>
      <c r="J39" s="304"/>
    </row>
    <row r="40" spans="1:10" s="161" customFormat="1" x14ac:dyDescent="0.3">
      <c r="A40" s="146">
        <v>18</v>
      </c>
      <c r="B40" s="298">
        <v>44713</v>
      </c>
      <c r="C40" s="299">
        <f t="shared" si="0"/>
        <v>10000</v>
      </c>
      <c r="D40" s="299">
        <f t="shared" si="1"/>
        <v>1930</v>
      </c>
      <c r="E40" s="299">
        <f t="shared" si="2"/>
        <v>8070</v>
      </c>
      <c r="F40" s="299">
        <f t="shared" si="3"/>
        <v>377982</v>
      </c>
      <c r="G40" s="56"/>
      <c r="H40" s="301"/>
      <c r="I40" s="303"/>
      <c r="J40" s="304"/>
    </row>
    <row r="41" spans="1:10" s="161" customFormat="1" x14ac:dyDescent="0.3">
      <c r="A41" s="60">
        <v>19</v>
      </c>
      <c r="B41" s="297">
        <v>44743</v>
      </c>
      <c r="C41" s="296">
        <f t="shared" si="0"/>
        <v>10000</v>
      </c>
      <c r="D41" s="296">
        <f t="shared" si="1"/>
        <v>1890</v>
      </c>
      <c r="E41" s="296">
        <f t="shared" si="2"/>
        <v>8110</v>
      </c>
      <c r="F41" s="296">
        <f t="shared" si="3"/>
        <v>369872</v>
      </c>
      <c r="G41" s="56"/>
      <c r="H41" s="301"/>
      <c r="I41" s="303"/>
      <c r="J41" s="304"/>
    </row>
    <row r="42" spans="1:10" s="161" customFormat="1" x14ac:dyDescent="0.3">
      <c r="A42" s="60">
        <v>20</v>
      </c>
      <c r="B42" s="297">
        <v>44774</v>
      </c>
      <c r="C42" s="296">
        <f t="shared" si="0"/>
        <v>10000</v>
      </c>
      <c r="D42" s="296">
        <f t="shared" si="1"/>
        <v>1849</v>
      </c>
      <c r="E42" s="296">
        <f t="shared" si="2"/>
        <v>8151</v>
      </c>
      <c r="F42" s="296">
        <f t="shared" si="3"/>
        <v>361721</v>
      </c>
      <c r="G42" s="56"/>
      <c r="H42" s="301"/>
      <c r="I42" s="303"/>
      <c r="J42" s="304"/>
    </row>
    <row r="43" spans="1:10" s="161" customFormat="1" x14ac:dyDescent="0.3">
      <c r="A43" s="60">
        <v>21</v>
      </c>
      <c r="B43" s="297">
        <v>44805</v>
      </c>
      <c r="C43" s="296">
        <f t="shared" si="0"/>
        <v>10000</v>
      </c>
      <c r="D43" s="296">
        <f t="shared" si="1"/>
        <v>1809</v>
      </c>
      <c r="E43" s="296">
        <f t="shared" si="2"/>
        <v>8191</v>
      </c>
      <c r="F43" s="296">
        <f t="shared" si="3"/>
        <v>353530</v>
      </c>
      <c r="G43" s="56"/>
      <c r="H43" s="301"/>
      <c r="I43" s="303"/>
      <c r="J43" s="304"/>
    </row>
    <row r="44" spans="1:10" s="161" customFormat="1" x14ac:dyDescent="0.3">
      <c r="A44" s="60">
        <v>22</v>
      </c>
      <c r="B44" s="297">
        <v>44835</v>
      </c>
      <c r="C44" s="296">
        <f t="shared" si="0"/>
        <v>10000</v>
      </c>
      <c r="D44" s="296">
        <f t="shared" si="1"/>
        <v>1768</v>
      </c>
      <c r="E44" s="296">
        <f t="shared" si="2"/>
        <v>8232</v>
      </c>
      <c r="F44" s="296">
        <f t="shared" si="3"/>
        <v>345298</v>
      </c>
      <c r="G44" s="56"/>
      <c r="H44" s="301"/>
      <c r="I44" s="303"/>
      <c r="J44" s="304"/>
    </row>
    <row r="45" spans="1:10" s="161" customFormat="1" x14ac:dyDescent="0.3">
      <c r="A45" s="60">
        <v>23</v>
      </c>
      <c r="B45" s="297">
        <v>44866</v>
      </c>
      <c r="C45" s="296">
        <f t="shared" si="0"/>
        <v>10000</v>
      </c>
      <c r="D45" s="296">
        <f t="shared" si="1"/>
        <v>1726</v>
      </c>
      <c r="E45" s="296">
        <f t="shared" si="2"/>
        <v>8274</v>
      </c>
      <c r="F45" s="296">
        <f t="shared" si="3"/>
        <v>337024</v>
      </c>
      <c r="G45" s="56"/>
      <c r="H45" s="301"/>
      <c r="I45" s="303"/>
      <c r="J45" s="304"/>
    </row>
    <row r="46" spans="1:10" s="161" customFormat="1" x14ac:dyDescent="0.3">
      <c r="A46" s="60">
        <v>24</v>
      </c>
      <c r="B46" s="297">
        <v>44896</v>
      </c>
      <c r="C46" s="296">
        <f t="shared" si="0"/>
        <v>10000</v>
      </c>
      <c r="D46" s="296">
        <f t="shared" si="1"/>
        <v>1685</v>
      </c>
      <c r="E46" s="296">
        <f t="shared" si="2"/>
        <v>8315</v>
      </c>
      <c r="F46" s="296">
        <f t="shared" si="3"/>
        <v>328709</v>
      </c>
      <c r="G46" s="56"/>
      <c r="H46" s="301"/>
      <c r="I46" s="303"/>
      <c r="J46" s="304"/>
    </row>
    <row r="47" spans="1:10" s="161" customFormat="1" x14ac:dyDescent="0.3">
      <c r="A47" s="60">
        <v>25</v>
      </c>
      <c r="B47" s="297">
        <v>44927</v>
      </c>
      <c r="C47" s="296">
        <f t="shared" si="0"/>
        <v>10000</v>
      </c>
      <c r="D47" s="296">
        <f t="shared" si="1"/>
        <v>1644</v>
      </c>
      <c r="E47" s="296">
        <f t="shared" si="2"/>
        <v>8356</v>
      </c>
      <c r="F47" s="296">
        <f t="shared" si="3"/>
        <v>320353</v>
      </c>
      <c r="G47" s="56"/>
      <c r="H47" s="301"/>
      <c r="I47" s="303"/>
      <c r="J47" s="304"/>
    </row>
    <row r="48" spans="1:10" s="161" customFormat="1" x14ac:dyDescent="0.3">
      <c r="A48" s="60">
        <v>26</v>
      </c>
      <c r="B48" s="297">
        <v>44958</v>
      </c>
      <c r="C48" s="296">
        <f t="shared" si="0"/>
        <v>10000</v>
      </c>
      <c r="D48" s="296">
        <f t="shared" si="1"/>
        <v>1602</v>
      </c>
      <c r="E48" s="296">
        <f t="shared" si="2"/>
        <v>8398</v>
      </c>
      <c r="F48" s="296">
        <f t="shared" si="3"/>
        <v>311955</v>
      </c>
      <c r="G48" s="56"/>
      <c r="H48" s="301"/>
      <c r="I48" s="303"/>
      <c r="J48" s="304"/>
    </row>
    <row r="49" spans="1:10" s="161" customFormat="1" x14ac:dyDescent="0.3">
      <c r="A49" s="60">
        <v>27</v>
      </c>
      <c r="B49" s="297">
        <v>44986</v>
      </c>
      <c r="C49" s="296">
        <f t="shared" si="0"/>
        <v>10000</v>
      </c>
      <c r="D49" s="296">
        <f t="shared" si="1"/>
        <v>1560</v>
      </c>
      <c r="E49" s="296">
        <f t="shared" si="2"/>
        <v>8440</v>
      </c>
      <c r="F49" s="296">
        <f t="shared" si="3"/>
        <v>303515</v>
      </c>
      <c r="G49" s="56"/>
      <c r="H49" s="301"/>
      <c r="I49" s="303"/>
      <c r="J49" s="304"/>
    </row>
    <row r="50" spans="1:10" s="161" customFormat="1" x14ac:dyDescent="0.3">
      <c r="A50" s="60">
        <v>28</v>
      </c>
      <c r="B50" s="297">
        <v>45017</v>
      </c>
      <c r="C50" s="296">
        <f t="shared" si="0"/>
        <v>10000</v>
      </c>
      <c r="D50" s="296">
        <f t="shared" si="1"/>
        <v>1518</v>
      </c>
      <c r="E50" s="296">
        <f t="shared" si="2"/>
        <v>8482</v>
      </c>
      <c r="F50" s="296">
        <f t="shared" si="3"/>
        <v>295033</v>
      </c>
      <c r="G50" s="56"/>
      <c r="H50" s="301"/>
      <c r="I50" s="303"/>
      <c r="J50" s="304"/>
    </row>
    <row r="51" spans="1:10" s="161" customFormat="1" x14ac:dyDescent="0.3">
      <c r="A51" s="60">
        <v>29</v>
      </c>
      <c r="B51" s="297">
        <v>45047</v>
      </c>
      <c r="C51" s="296">
        <f t="shared" si="0"/>
        <v>10000</v>
      </c>
      <c r="D51" s="296">
        <f t="shared" si="1"/>
        <v>1475</v>
      </c>
      <c r="E51" s="296">
        <f t="shared" si="2"/>
        <v>8525</v>
      </c>
      <c r="F51" s="296">
        <f t="shared" si="3"/>
        <v>286508</v>
      </c>
      <c r="G51" s="56"/>
      <c r="H51" s="301"/>
      <c r="I51" s="303"/>
      <c r="J51" s="304"/>
    </row>
    <row r="52" spans="1:10" s="161" customFormat="1" x14ac:dyDescent="0.3">
      <c r="A52" s="146">
        <v>30</v>
      </c>
      <c r="B52" s="298">
        <v>45078</v>
      </c>
      <c r="C52" s="299">
        <f t="shared" si="0"/>
        <v>10000</v>
      </c>
      <c r="D52" s="299">
        <f t="shared" si="1"/>
        <v>1433</v>
      </c>
      <c r="E52" s="299">
        <f t="shared" si="2"/>
        <v>8567</v>
      </c>
      <c r="F52" s="299">
        <f t="shared" si="3"/>
        <v>277941</v>
      </c>
      <c r="G52" s="56"/>
      <c r="H52" s="301"/>
      <c r="I52" s="303"/>
      <c r="J52" s="304"/>
    </row>
    <row r="53" spans="1:10" s="161" customFormat="1" x14ac:dyDescent="0.3">
      <c r="A53" s="60">
        <v>31</v>
      </c>
      <c r="B53" s="297">
        <v>45108</v>
      </c>
      <c r="C53" s="296">
        <f t="shared" si="0"/>
        <v>10000</v>
      </c>
      <c r="D53" s="296">
        <f t="shared" si="1"/>
        <v>1390</v>
      </c>
      <c r="E53" s="296">
        <f t="shared" si="2"/>
        <v>8610</v>
      </c>
      <c r="F53" s="296">
        <f t="shared" si="3"/>
        <v>269331</v>
      </c>
      <c r="G53" s="56"/>
      <c r="H53" s="301"/>
      <c r="I53" s="303"/>
      <c r="J53" s="304"/>
    </row>
    <row r="54" spans="1:10" s="161" customFormat="1" x14ac:dyDescent="0.3">
      <c r="A54" s="60">
        <v>32</v>
      </c>
      <c r="B54" s="297">
        <v>45139</v>
      </c>
      <c r="C54" s="296">
        <f t="shared" si="0"/>
        <v>10000</v>
      </c>
      <c r="D54" s="296">
        <f t="shared" si="1"/>
        <v>1347</v>
      </c>
      <c r="E54" s="296">
        <f t="shared" si="2"/>
        <v>8653</v>
      </c>
      <c r="F54" s="296">
        <f t="shared" si="3"/>
        <v>260678</v>
      </c>
      <c r="G54" s="56"/>
      <c r="H54" s="301"/>
      <c r="I54" s="303"/>
      <c r="J54" s="304"/>
    </row>
    <row r="55" spans="1:10" s="161" customFormat="1" x14ac:dyDescent="0.3">
      <c r="A55" s="60">
        <v>33</v>
      </c>
      <c r="B55" s="297">
        <v>45170</v>
      </c>
      <c r="C55" s="296">
        <f t="shared" si="0"/>
        <v>10000</v>
      </c>
      <c r="D55" s="296">
        <f t="shared" si="1"/>
        <v>1303</v>
      </c>
      <c r="E55" s="296">
        <f t="shared" si="2"/>
        <v>8697</v>
      </c>
      <c r="F55" s="296">
        <f t="shared" si="3"/>
        <v>251981</v>
      </c>
      <c r="G55" s="56"/>
      <c r="H55" s="301"/>
      <c r="I55" s="303"/>
      <c r="J55" s="304"/>
    </row>
    <row r="56" spans="1:10" s="161" customFormat="1" x14ac:dyDescent="0.3">
      <c r="A56" s="60">
        <v>34</v>
      </c>
      <c r="B56" s="297">
        <v>45200</v>
      </c>
      <c r="C56" s="296">
        <f t="shared" si="0"/>
        <v>10000</v>
      </c>
      <c r="D56" s="296">
        <f t="shared" si="1"/>
        <v>1260</v>
      </c>
      <c r="E56" s="296">
        <f t="shared" si="2"/>
        <v>8740</v>
      </c>
      <c r="F56" s="296">
        <f t="shared" si="3"/>
        <v>243241</v>
      </c>
      <c r="G56" s="56"/>
      <c r="H56" s="301"/>
      <c r="I56" s="303"/>
      <c r="J56" s="304"/>
    </row>
    <row r="57" spans="1:10" s="161" customFormat="1" x14ac:dyDescent="0.3">
      <c r="A57" s="60">
        <v>35</v>
      </c>
      <c r="B57" s="297">
        <v>45231</v>
      </c>
      <c r="C57" s="296">
        <f t="shared" si="0"/>
        <v>10000</v>
      </c>
      <c r="D57" s="296">
        <f t="shared" si="1"/>
        <v>1216</v>
      </c>
      <c r="E57" s="296">
        <f t="shared" si="2"/>
        <v>8784</v>
      </c>
      <c r="F57" s="296">
        <f t="shared" si="3"/>
        <v>234457</v>
      </c>
      <c r="G57" s="56"/>
      <c r="H57" s="301"/>
      <c r="I57" s="303"/>
      <c r="J57" s="304"/>
    </row>
    <row r="58" spans="1:10" s="161" customFormat="1" x14ac:dyDescent="0.3">
      <c r="A58" s="60">
        <v>36</v>
      </c>
      <c r="B58" s="297">
        <v>45261</v>
      </c>
      <c r="C58" s="296">
        <f t="shared" si="0"/>
        <v>10000</v>
      </c>
      <c r="D58" s="296">
        <f t="shared" si="1"/>
        <v>1172</v>
      </c>
      <c r="E58" s="296">
        <f t="shared" si="2"/>
        <v>8828</v>
      </c>
      <c r="F58" s="296">
        <f t="shared" si="3"/>
        <v>225629</v>
      </c>
      <c r="G58" s="56"/>
      <c r="H58" s="301"/>
      <c r="I58" s="303"/>
      <c r="J58" s="304"/>
    </row>
    <row r="59" spans="1:10" s="161" customFormat="1" x14ac:dyDescent="0.3">
      <c r="A59" s="60">
        <v>37</v>
      </c>
      <c r="B59" s="297">
        <v>45292</v>
      </c>
      <c r="C59" s="296">
        <f t="shared" si="0"/>
        <v>10000</v>
      </c>
      <c r="D59" s="296">
        <f t="shared" si="1"/>
        <v>1128</v>
      </c>
      <c r="E59" s="296">
        <f t="shared" si="2"/>
        <v>8872</v>
      </c>
      <c r="F59" s="296">
        <f t="shared" si="3"/>
        <v>216757</v>
      </c>
      <c r="G59" s="56"/>
      <c r="H59" s="301"/>
      <c r="I59" s="303"/>
      <c r="J59" s="304"/>
    </row>
    <row r="60" spans="1:10" s="161" customFormat="1" x14ac:dyDescent="0.3">
      <c r="A60" s="60">
        <v>38</v>
      </c>
      <c r="B60" s="297">
        <v>45323</v>
      </c>
      <c r="C60" s="296">
        <f t="shared" si="0"/>
        <v>10000</v>
      </c>
      <c r="D60" s="296">
        <f t="shared" si="1"/>
        <v>1084</v>
      </c>
      <c r="E60" s="296">
        <f t="shared" si="2"/>
        <v>8916</v>
      </c>
      <c r="F60" s="296">
        <f t="shared" si="3"/>
        <v>207841</v>
      </c>
      <c r="G60" s="56"/>
      <c r="H60" s="301"/>
      <c r="I60" s="303"/>
      <c r="J60" s="304"/>
    </row>
    <row r="61" spans="1:10" s="161" customFormat="1" x14ac:dyDescent="0.3">
      <c r="A61" s="60">
        <v>39</v>
      </c>
      <c r="B61" s="297">
        <v>45352</v>
      </c>
      <c r="C61" s="296">
        <f t="shared" si="0"/>
        <v>10000</v>
      </c>
      <c r="D61" s="296">
        <f t="shared" si="1"/>
        <v>1039</v>
      </c>
      <c r="E61" s="296">
        <f t="shared" si="2"/>
        <v>8961</v>
      </c>
      <c r="F61" s="296">
        <f t="shared" si="3"/>
        <v>198880</v>
      </c>
      <c r="G61" s="56"/>
      <c r="H61" s="301"/>
      <c r="I61" s="303"/>
      <c r="J61" s="304"/>
    </row>
    <row r="62" spans="1:10" s="161" customFormat="1" x14ac:dyDescent="0.3">
      <c r="A62" s="60">
        <v>40</v>
      </c>
      <c r="B62" s="297">
        <v>45383</v>
      </c>
      <c r="C62" s="296">
        <f t="shared" si="0"/>
        <v>10000</v>
      </c>
      <c r="D62" s="296">
        <f t="shared" si="1"/>
        <v>994</v>
      </c>
      <c r="E62" s="296">
        <f t="shared" si="2"/>
        <v>9006</v>
      </c>
      <c r="F62" s="296">
        <f t="shared" si="3"/>
        <v>189874</v>
      </c>
      <c r="G62" s="56"/>
      <c r="H62" s="301"/>
      <c r="I62" s="303"/>
      <c r="J62" s="304"/>
    </row>
    <row r="63" spans="1:10" s="161" customFormat="1" x14ac:dyDescent="0.3">
      <c r="A63" s="60">
        <v>41</v>
      </c>
      <c r="B63" s="297">
        <v>45413</v>
      </c>
      <c r="C63" s="296">
        <f t="shared" si="0"/>
        <v>10000</v>
      </c>
      <c r="D63" s="296">
        <f t="shared" si="1"/>
        <v>949</v>
      </c>
      <c r="E63" s="296">
        <f t="shared" si="2"/>
        <v>9051</v>
      </c>
      <c r="F63" s="296">
        <f t="shared" si="3"/>
        <v>180823</v>
      </c>
      <c r="G63" s="302"/>
      <c r="H63" s="301"/>
      <c r="I63" s="303"/>
      <c r="J63" s="304"/>
    </row>
    <row r="64" spans="1:10" s="161" customFormat="1" x14ac:dyDescent="0.3">
      <c r="A64" s="60">
        <v>42</v>
      </c>
      <c r="B64" s="298">
        <v>45444</v>
      </c>
      <c r="C64" s="299">
        <f t="shared" si="0"/>
        <v>10000</v>
      </c>
      <c r="D64" s="299">
        <f t="shared" si="1"/>
        <v>904</v>
      </c>
      <c r="E64" s="299">
        <f t="shared" si="2"/>
        <v>9096</v>
      </c>
      <c r="F64" s="299">
        <f t="shared" si="3"/>
        <v>171727</v>
      </c>
      <c r="G64" s="302"/>
      <c r="H64" s="301"/>
      <c r="I64" s="303"/>
      <c r="J64" s="304"/>
    </row>
    <row r="65" spans="1:10" s="161" customFormat="1" x14ac:dyDescent="0.3">
      <c r="A65" s="60">
        <v>43</v>
      </c>
      <c r="B65" s="297">
        <v>45474</v>
      </c>
      <c r="C65" s="296">
        <f t="shared" si="0"/>
        <v>10000</v>
      </c>
      <c r="D65" s="296">
        <f t="shared" si="1"/>
        <v>859</v>
      </c>
      <c r="E65" s="296">
        <f t="shared" si="2"/>
        <v>9141</v>
      </c>
      <c r="F65" s="296">
        <f t="shared" si="3"/>
        <v>162586</v>
      </c>
      <c r="G65" s="302"/>
      <c r="H65" s="301"/>
      <c r="I65" s="303"/>
      <c r="J65" s="304"/>
    </row>
    <row r="66" spans="1:10" s="161" customFormat="1" x14ac:dyDescent="0.3">
      <c r="A66" s="60">
        <v>44</v>
      </c>
      <c r="B66" s="297">
        <v>45505</v>
      </c>
      <c r="C66" s="296">
        <f t="shared" si="0"/>
        <v>10000</v>
      </c>
      <c r="D66" s="296">
        <f t="shared" si="1"/>
        <v>813</v>
      </c>
      <c r="E66" s="296">
        <f t="shared" si="2"/>
        <v>9187</v>
      </c>
      <c r="F66" s="296">
        <f t="shared" si="3"/>
        <v>153399</v>
      </c>
      <c r="G66" s="302"/>
      <c r="H66" s="301"/>
      <c r="I66" s="303"/>
      <c r="J66" s="304"/>
    </row>
    <row r="67" spans="1:10" s="161" customFormat="1" x14ac:dyDescent="0.3">
      <c r="A67" s="60">
        <v>45</v>
      </c>
      <c r="B67" s="297">
        <v>45536</v>
      </c>
      <c r="C67" s="296">
        <f t="shared" si="0"/>
        <v>10000</v>
      </c>
      <c r="D67" s="296">
        <f t="shared" si="1"/>
        <v>767</v>
      </c>
      <c r="E67" s="296">
        <f t="shared" si="2"/>
        <v>9233</v>
      </c>
      <c r="F67" s="296">
        <f t="shared" si="3"/>
        <v>144166</v>
      </c>
      <c r="G67" s="302"/>
      <c r="H67" s="301"/>
      <c r="I67" s="303"/>
      <c r="J67" s="304"/>
    </row>
    <row r="68" spans="1:10" s="161" customFormat="1" x14ac:dyDescent="0.3">
      <c r="A68" s="60">
        <v>46</v>
      </c>
      <c r="B68" s="297">
        <v>45566</v>
      </c>
      <c r="C68" s="296">
        <f t="shared" si="0"/>
        <v>10000</v>
      </c>
      <c r="D68" s="296">
        <f t="shared" si="1"/>
        <v>721</v>
      </c>
      <c r="E68" s="296">
        <f t="shared" si="2"/>
        <v>9279</v>
      </c>
      <c r="F68" s="296">
        <f t="shared" si="3"/>
        <v>134887</v>
      </c>
      <c r="G68" s="302"/>
      <c r="H68" s="301"/>
      <c r="I68" s="303"/>
      <c r="J68" s="304"/>
    </row>
    <row r="69" spans="1:10" s="161" customFormat="1" x14ac:dyDescent="0.3">
      <c r="A69" s="60">
        <v>47</v>
      </c>
      <c r="B69" s="297">
        <v>45597</v>
      </c>
      <c r="C69" s="296">
        <f t="shared" si="0"/>
        <v>10000</v>
      </c>
      <c r="D69" s="296">
        <f t="shared" si="1"/>
        <v>674</v>
      </c>
      <c r="E69" s="296">
        <f t="shared" si="2"/>
        <v>9326</v>
      </c>
      <c r="F69" s="296">
        <f t="shared" si="3"/>
        <v>125561</v>
      </c>
      <c r="G69" s="302"/>
      <c r="H69" s="301"/>
      <c r="I69" s="303"/>
      <c r="J69" s="304"/>
    </row>
    <row r="70" spans="1:10" s="161" customFormat="1" x14ac:dyDescent="0.3">
      <c r="A70" s="60">
        <v>48</v>
      </c>
      <c r="B70" s="297">
        <v>45627</v>
      </c>
      <c r="C70" s="296">
        <f t="shared" si="0"/>
        <v>10000</v>
      </c>
      <c r="D70" s="296">
        <f t="shared" si="1"/>
        <v>628</v>
      </c>
      <c r="E70" s="296">
        <f t="shared" si="2"/>
        <v>9372</v>
      </c>
      <c r="F70" s="296">
        <f t="shared" si="3"/>
        <v>116189</v>
      </c>
      <c r="G70" s="302"/>
      <c r="H70" s="301"/>
      <c r="I70" s="303"/>
      <c r="J70" s="304"/>
    </row>
    <row r="71" spans="1:10" s="161" customFormat="1" x14ac:dyDescent="0.3">
      <c r="A71" s="60">
        <v>49</v>
      </c>
      <c r="B71" s="297">
        <v>45658</v>
      </c>
      <c r="C71" s="296">
        <f t="shared" si="0"/>
        <v>10000</v>
      </c>
      <c r="D71" s="296">
        <f t="shared" si="1"/>
        <v>581</v>
      </c>
      <c r="E71" s="296">
        <f t="shared" si="2"/>
        <v>9419</v>
      </c>
      <c r="F71" s="296">
        <f t="shared" si="3"/>
        <v>106770</v>
      </c>
      <c r="G71" s="302"/>
      <c r="H71" s="301"/>
      <c r="I71" s="303"/>
      <c r="J71" s="304"/>
    </row>
    <row r="72" spans="1:10" s="161" customFormat="1" x14ac:dyDescent="0.3">
      <c r="A72" s="60">
        <v>50</v>
      </c>
      <c r="B72" s="297">
        <v>45689</v>
      </c>
      <c r="C72" s="296">
        <f>+C71</f>
        <v>10000</v>
      </c>
      <c r="D72" s="296">
        <f t="shared" si="1"/>
        <v>534</v>
      </c>
      <c r="E72" s="296">
        <f t="shared" si="2"/>
        <v>9466</v>
      </c>
      <c r="F72" s="296">
        <f t="shared" si="3"/>
        <v>97304</v>
      </c>
      <c r="G72" s="302"/>
      <c r="H72" s="301"/>
      <c r="I72" s="303"/>
      <c r="J72" s="304"/>
    </row>
    <row r="73" spans="1:10" s="161" customFormat="1" x14ac:dyDescent="0.3">
      <c r="A73" s="60">
        <v>51</v>
      </c>
      <c r="B73" s="297">
        <v>45717</v>
      </c>
      <c r="C73" s="296">
        <f t="shared" ref="C73:C80" si="5">+C72</f>
        <v>10000</v>
      </c>
      <c r="D73" s="296">
        <f t="shared" ref="D73:D81" si="6">ROUND(+F72*$D$21,0)</f>
        <v>487</v>
      </c>
      <c r="E73" s="296">
        <f t="shared" ref="E73:E81" si="7">+C73-D73</f>
        <v>9513</v>
      </c>
      <c r="F73" s="296">
        <f t="shared" ref="F73:F81" si="8">+F72-E73</f>
        <v>87791</v>
      </c>
      <c r="G73" s="302"/>
      <c r="H73" s="301"/>
      <c r="I73" s="303"/>
      <c r="J73" s="304"/>
    </row>
    <row r="74" spans="1:10" s="161" customFormat="1" x14ac:dyDescent="0.3">
      <c r="A74" s="60">
        <v>52</v>
      </c>
      <c r="B74" s="297">
        <v>45748</v>
      </c>
      <c r="C74" s="296">
        <f t="shared" si="5"/>
        <v>10000</v>
      </c>
      <c r="D74" s="296">
        <f t="shared" si="6"/>
        <v>439</v>
      </c>
      <c r="E74" s="296">
        <f t="shared" si="7"/>
        <v>9561</v>
      </c>
      <c r="F74" s="296">
        <f t="shared" si="8"/>
        <v>78230</v>
      </c>
      <c r="G74" s="302"/>
      <c r="H74" s="301"/>
      <c r="I74" s="303"/>
      <c r="J74" s="304"/>
    </row>
    <row r="75" spans="1:10" s="161" customFormat="1" x14ac:dyDescent="0.3">
      <c r="A75" s="60">
        <v>53</v>
      </c>
      <c r="B75" s="297">
        <v>45778</v>
      </c>
      <c r="C75" s="296">
        <f t="shared" si="5"/>
        <v>10000</v>
      </c>
      <c r="D75" s="296">
        <f t="shared" si="6"/>
        <v>391</v>
      </c>
      <c r="E75" s="296">
        <f t="shared" si="7"/>
        <v>9609</v>
      </c>
      <c r="F75" s="296">
        <f t="shared" si="8"/>
        <v>68621</v>
      </c>
      <c r="G75" s="302"/>
      <c r="H75" s="301"/>
      <c r="I75" s="303"/>
      <c r="J75" s="304"/>
    </row>
    <row r="76" spans="1:10" s="161" customFormat="1" x14ac:dyDescent="0.3">
      <c r="A76" s="146">
        <v>54</v>
      </c>
      <c r="B76" s="298">
        <v>45809</v>
      </c>
      <c r="C76" s="299">
        <f t="shared" si="5"/>
        <v>10000</v>
      </c>
      <c r="D76" s="299">
        <f t="shared" si="6"/>
        <v>343</v>
      </c>
      <c r="E76" s="299">
        <f t="shared" si="7"/>
        <v>9657</v>
      </c>
      <c r="F76" s="299">
        <f t="shared" si="8"/>
        <v>58964</v>
      </c>
      <c r="G76" s="302"/>
      <c r="H76" s="301"/>
      <c r="I76" s="303"/>
      <c r="J76" s="304"/>
    </row>
    <row r="77" spans="1:10" s="161" customFormat="1" x14ac:dyDescent="0.3">
      <c r="A77" s="60">
        <v>55</v>
      </c>
      <c r="B77" s="297">
        <v>45839</v>
      </c>
      <c r="C77" s="296">
        <f t="shared" si="5"/>
        <v>10000</v>
      </c>
      <c r="D77" s="296">
        <f t="shared" si="6"/>
        <v>295</v>
      </c>
      <c r="E77" s="296">
        <f t="shared" si="7"/>
        <v>9705</v>
      </c>
      <c r="F77" s="296">
        <f t="shared" si="8"/>
        <v>49259</v>
      </c>
      <c r="G77" s="302"/>
      <c r="H77" s="301"/>
      <c r="I77" s="303"/>
      <c r="J77" s="304"/>
    </row>
    <row r="78" spans="1:10" s="161" customFormat="1" x14ac:dyDescent="0.3">
      <c r="A78" s="60">
        <v>56</v>
      </c>
      <c r="B78" s="297">
        <v>45870</v>
      </c>
      <c r="C78" s="296">
        <f t="shared" si="5"/>
        <v>10000</v>
      </c>
      <c r="D78" s="296">
        <f t="shared" si="6"/>
        <v>246</v>
      </c>
      <c r="E78" s="296">
        <f t="shared" si="7"/>
        <v>9754</v>
      </c>
      <c r="F78" s="296">
        <f t="shared" si="8"/>
        <v>39505</v>
      </c>
      <c r="G78" s="302"/>
      <c r="H78" s="301"/>
      <c r="I78" s="303"/>
      <c r="J78" s="304"/>
    </row>
    <row r="79" spans="1:10" s="161" customFormat="1" x14ac:dyDescent="0.3">
      <c r="A79" s="60">
        <v>57</v>
      </c>
      <c r="B79" s="297">
        <v>45901</v>
      </c>
      <c r="C79" s="296">
        <f t="shared" si="5"/>
        <v>10000</v>
      </c>
      <c r="D79" s="296">
        <f t="shared" si="6"/>
        <v>198</v>
      </c>
      <c r="E79" s="296">
        <f t="shared" si="7"/>
        <v>9802</v>
      </c>
      <c r="F79" s="296">
        <f t="shared" si="8"/>
        <v>29703</v>
      </c>
      <c r="G79" s="302"/>
      <c r="H79" s="301"/>
      <c r="I79" s="303"/>
      <c r="J79" s="304"/>
    </row>
    <row r="80" spans="1:10" s="161" customFormat="1" x14ac:dyDescent="0.3">
      <c r="A80" s="60">
        <v>58</v>
      </c>
      <c r="B80" s="297">
        <v>45931</v>
      </c>
      <c r="C80" s="296">
        <f t="shared" si="5"/>
        <v>10000</v>
      </c>
      <c r="D80" s="296">
        <f t="shared" si="6"/>
        <v>149</v>
      </c>
      <c r="E80" s="296">
        <f t="shared" si="7"/>
        <v>9851</v>
      </c>
      <c r="F80" s="296">
        <f t="shared" si="8"/>
        <v>19852</v>
      </c>
      <c r="G80" s="302"/>
      <c r="H80" s="301"/>
      <c r="I80" s="303"/>
      <c r="J80" s="304"/>
    </row>
    <row r="81" spans="1:15" s="161" customFormat="1" x14ac:dyDescent="0.3">
      <c r="A81" s="60">
        <v>59</v>
      </c>
      <c r="B81" s="297">
        <v>45962</v>
      </c>
      <c r="C81" s="296">
        <f>+C80</f>
        <v>10000</v>
      </c>
      <c r="D81" s="296">
        <f t="shared" si="6"/>
        <v>99</v>
      </c>
      <c r="E81" s="296">
        <f t="shared" si="7"/>
        <v>9901</v>
      </c>
      <c r="F81" s="296">
        <f t="shared" si="8"/>
        <v>9951</v>
      </c>
      <c r="G81" s="302"/>
      <c r="H81" s="301"/>
      <c r="I81" s="303"/>
      <c r="J81" s="304"/>
    </row>
    <row r="82" spans="1:15" s="161" customFormat="1" x14ac:dyDescent="0.3">
      <c r="A82" s="60">
        <v>60</v>
      </c>
      <c r="B82" s="298">
        <v>45992</v>
      </c>
      <c r="C82" s="299">
        <f>+C81+1</f>
        <v>10001</v>
      </c>
      <c r="D82" s="299">
        <f t="shared" ref="D82" si="9">ROUND(+F81*$D$21,0)</f>
        <v>50</v>
      </c>
      <c r="E82" s="299">
        <f t="shared" ref="E82" si="10">+C82-D82</f>
        <v>9951</v>
      </c>
      <c r="F82" s="299">
        <f t="shared" ref="F82" si="11">+F81-E82</f>
        <v>0</v>
      </c>
      <c r="G82" s="302"/>
      <c r="H82" s="301"/>
      <c r="I82" s="303"/>
      <c r="J82" s="304"/>
    </row>
    <row r="83" spans="1:15" s="280" customFormat="1" x14ac:dyDescent="0.3">
      <c r="A83" s="60"/>
      <c r="B83" s="48"/>
      <c r="C83" s="48"/>
      <c r="D83" s="48"/>
      <c r="E83" s="48"/>
      <c r="F83" s="286"/>
      <c r="G83" s="48"/>
      <c r="H83" s="48"/>
      <c r="I83" s="48"/>
      <c r="K83" s="60"/>
      <c r="L83" s="60"/>
      <c r="M83" s="60"/>
      <c r="N83" s="60"/>
      <c r="O83" s="60"/>
    </row>
    <row r="84" spans="1:15" s="280" customFormat="1" x14ac:dyDescent="0.3">
      <c r="A84" s="60"/>
      <c r="B84" s="48"/>
      <c r="C84" s="48"/>
      <c r="D84" s="48"/>
      <c r="E84" s="48"/>
      <c r="F84" s="286"/>
      <c r="G84" s="48"/>
      <c r="H84" s="48"/>
      <c r="I84" s="48"/>
      <c r="K84" s="60"/>
      <c r="L84" s="60"/>
      <c r="M84" s="60"/>
      <c r="N84" s="60"/>
      <c r="O84" s="60"/>
    </row>
    <row r="85" spans="1:15" s="280" customFormat="1" x14ac:dyDescent="0.3">
      <c r="A85" s="60"/>
      <c r="B85" s="48"/>
      <c r="C85" s="48"/>
      <c r="D85" s="48"/>
      <c r="E85" s="48"/>
      <c r="F85" s="286"/>
      <c r="G85" s="48"/>
      <c r="H85" s="48"/>
      <c r="I85" s="48"/>
      <c r="K85" s="60"/>
      <c r="L85" s="60"/>
      <c r="M85" s="60"/>
      <c r="N85" s="60"/>
      <c r="O85" s="60"/>
    </row>
    <row r="86" spans="1:15" s="280" customFormat="1" x14ac:dyDescent="0.3">
      <c r="A86" s="60"/>
      <c r="B86" s="48"/>
      <c r="C86" s="48"/>
      <c r="D86" s="48"/>
      <c r="E86" s="48"/>
      <c r="F86" s="286"/>
      <c r="G86" s="48"/>
      <c r="H86" s="48"/>
      <c r="I86" s="48"/>
      <c r="K86" s="60"/>
      <c r="L86" s="60"/>
      <c r="M86" s="60"/>
      <c r="N86" s="60"/>
      <c r="O86" s="60"/>
    </row>
    <row r="87" spans="1:15" s="280" customFormat="1" x14ac:dyDescent="0.3">
      <c r="A87" s="60"/>
      <c r="B87" s="48"/>
      <c r="C87" s="48"/>
      <c r="D87" s="48"/>
      <c r="E87" s="48"/>
      <c r="F87" s="286"/>
      <c r="G87" s="48"/>
      <c r="H87" s="48"/>
      <c r="I87" s="48"/>
      <c r="K87" s="60"/>
      <c r="L87" s="60"/>
      <c r="M87" s="60"/>
      <c r="N87" s="60"/>
      <c r="O87" s="60"/>
    </row>
    <row r="88" spans="1:15" s="280" customFormat="1" x14ac:dyDescent="0.3">
      <c r="A88" s="60"/>
      <c r="B88" s="48"/>
      <c r="C88" s="48"/>
      <c r="D88" s="48"/>
      <c r="E88" s="48"/>
      <c r="F88" s="286"/>
      <c r="G88" s="48"/>
      <c r="H88" s="48"/>
      <c r="I88" s="48"/>
      <c r="K88" s="60"/>
      <c r="L88" s="60"/>
      <c r="M88" s="60"/>
      <c r="N88" s="60"/>
      <c r="O88" s="60"/>
    </row>
    <row r="89" spans="1:15" s="280" customFormat="1" x14ac:dyDescent="0.3">
      <c r="A89" s="60"/>
      <c r="B89" s="48"/>
      <c r="C89" s="48"/>
      <c r="D89" s="48"/>
      <c r="E89" s="48"/>
      <c r="F89" s="286"/>
      <c r="G89" s="48"/>
      <c r="H89" s="48"/>
      <c r="I89" s="48"/>
      <c r="K89" s="60"/>
      <c r="L89" s="60"/>
      <c r="M89" s="60"/>
      <c r="N89" s="60"/>
      <c r="O89" s="60"/>
    </row>
    <row r="90" spans="1:15" s="280" customFormat="1" x14ac:dyDescent="0.3">
      <c r="A90" s="60"/>
      <c r="B90" s="48"/>
      <c r="C90" s="48"/>
      <c r="D90" s="48"/>
      <c r="E90" s="48"/>
      <c r="F90" s="286"/>
      <c r="G90" s="48"/>
      <c r="H90" s="48"/>
      <c r="I90" s="48"/>
      <c r="K90" s="60"/>
      <c r="L90" s="60"/>
      <c r="M90" s="60"/>
      <c r="N90" s="60"/>
      <c r="O90" s="60"/>
    </row>
    <row r="91" spans="1:15" s="280" customFormat="1" x14ac:dyDescent="0.3">
      <c r="A91" s="60"/>
      <c r="B91" s="48"/>
      <c r="C91" s="48"/>
      <c r="D91" s="48"/>
      <c r="E91" s="48"/>
      <c r="F91" s="286"/>
      <c r="G91" s="48"/>
      <c r="H91" s="48"/>
      <c r="I91" s="48"/>
      <c r="K91" s="60"/>
      <c r="L91" s="60"/>
      <c r="M91" s="60"/>
      <c r="N91" s="60"/>
      <c r="O91" s="60"/>
    </row>
    <row r="92" spans="1:15" s="280" customFormat="1" x14ac:dyDescent="0.3">
      <c r="A92" s="60"/>
      <c r="B92" s="48"/>
      <c r="C92" s="48"/>
      <c r="D92" s="48"/>
      <c r="E92" s="48"/>
      <c r="F92" s="286"/>
      <c r="G92" s="48"/>
      <c r="H92" s="48"/>
      <c r="I92" s="48"/>
      <c r="K92" s="60"/>
      <c r="L92" s="60"/>
      <c r="M92" s="60"/>
      <c r="N92" s="60"/>
      <c r="O92" s="60"/>
    </row>
    <row r="93" spans="1:15" s="280" customFormat="1" x14ac:dyDescent="0.3">
      <c r="A93" s="60"/>
      <c r="B93" s="48"/>
      <c r="C93" s="48"/>
      <c r="D93" s="48"/>
      <c r="E93" s="48"/>
      <c r="F93" s="286"/>
      <c r="G93" s="48"/>
      <c r="H93" s="48"/>
      <c r="I93" s="48"/>
      <c r="K93" s="60"/>
      <c r="L93" s="60"/>
      <c r="M93" s="60"/>
      <c r="N93" s="60"/>
      <c r="O93" s="60"/>
    </row>
    <row r="94" spans="1:15" s="280" customFormat="1" x14ac:dyDescent="0.3">
      <c r="A94" s="60"/>
      <c r="B94" s="48"/>
      <c r="C94" s="48"/>
      <c r="D94" s="48"/>
      <c r="E94" s="48"/>
      <c r="F94" s="286"/>
      <c r="G94" s="48"/>
      <c r="H94" s="48"/>
      <c r="I94" s="48"/>
      <c r="K94" s="60"/>
      <c r="L94" s="60"/>
      <c r="M94" s="60"/>
      <c r="N94" s="60"/>
      <c r="O94" s="60"/>
    </row>
    <row r="95" spans="1:15" s="280" customFormat="1" x14ac:dyDescent="0.3">
      <c r="A95" s="60"/>
      <c r="B95" s="48"/>
      <c r="C95" s="48"/>
      <c r="D95" s="48"/>
      <c r="E95" s="48"/>
      <c r="F95" s="286"/>
      <c r="G95" s="48"/>
      <c r="H95" s="48"/>
      <c r="I95" s="48"/>
      <c r="K95" s="60"/>
      <c r="L95" s="60"/>
      <c r="M95" s="60"/>
      <c r="N95" s="60"/>
      <c r="O95" s="60"/>
    </row>
    <row r="96" spans="1:15" s="280" customFormat="1" x14ac:dyDescent="0.3">
      <c r="A96" s="60"/>
      <c r="B96" s="48"/>
      <c r="C96" s="48"/>
      <c r="D96" s="48"/>
      <c r="E96" s="48"/>
      <c r="F96" s="286"/>
      <c r="G96" s="48"/>
      <c r="H96" s="48"/>
      <c r="I96" s="48"/>
      <c r="K96" s="60"/>
      <c r="L96" s="60"/>
      <c r="M96" s="60"/>
      <c r="N96" s="60"/>
      <c r="O96" s="60"/>
    </row>
    <row r="97" spans="1:15" s="280" customFormat="1" x14ac:dyDescent="0.3">
      <c r="A97" s="60"/>
      <c r="B97" s="48"/>
      <c r="C97" s="48"/>
      <c r="D97" s="48"/>
      <c r="E97" s="48"/>
      <c r="F97" s="286"/>
      <c r="G97" s="48"/>
      <c r="H97" s="48"/>
      <c r="I97" s="48"/>
      <c r="K97" s="60"/>
      <c r="L97" s="60"/>
      <c r="M97" s="60"/>
      <c r="N97" s="60"/>
      <c r="O97" s="60"/>
    </row>
    <row r="98" spans="1:15" s="280" customFormat="1" x14ac:dyDescent="0.3">
      <c r="A98" s="60"/>
      <c r="B98" s="48"/>
      <c r="C98" s="48"/>
      <c r="D98" s="48"/>
      <c r="E98" s="48"/>
      <c r="F98" s="286"/>
      <c r="G98" s="48"/>
      <c r="H98" s="48"/>
      <c r="I98" s="48"/>
      <c r="K98" s="60"/>
      <c r="L98" s="60"/>
      <c r="M98" s="60"/>
      <c r="N98" s="60"/>
      <c r="O98" s="60"/>
    </row>
    <row r="99" spans="1:15" s="280" customFormat="1" x14ac:dyDescent="0.3">
      <c r="A99" s="60"/>
      <c r="B99" s="48"/>
      <c r="C99" s="48"/>
      <c r="D99" s="48"/>
      <c r="E99" s="48"/>
      <c r="F99" s="286"/>
      <c r="G99" s="48"/>
      <c r="H99" s="48"/>
      <c r="I99" s="48"/>
      <c r="K99" s="60"/>
      <c r="L99" s="60"/>
      <c r="M99" s="60"/>
      <c r="N99" s="60"/>
      <c r="O99" s="60"/>
    </row>
    <row r="100" spans="1:15" s="280" customFormat="1" x14ac:dyDescent="0.3">
      <c r="A100" s="60"/>
      <c r="B100" s="48"/>
      <c r="C100" s="48"/>
      <c r="D100" s="48"/>
      <c r="E100" s="48"/>
      <c r="F100" s="286"/>
      <c r="G100" s="48"/>
      <c r="H100" s="48"/>
      <c r="I100" s="48"/>
      <c r="K100" s="60"/>
      <c r="L100" s="60"/>
      <c r="M100" s="60"/>
      <c r="N100" s="60"/>
      <c r="O100" s="60"/>
    </row>
    <row r="101" spans="1:15" s="280" customFormat="1" x14ac:dyDescent="0.3">
      <c r="A101" s="60"/>
      <c r="B101" s="48"/>
      <c r="C101" s="48"/>
      <c r="D101" s="48"/>
      <c r="E101" s="48"/>
      <c r="F101" s="286"/>
      <c r="G101" s="48"/>
      <c r="H101" s="48"/>
      <c r="I101" s="48"/>
      <c r="K101" s="60"/>
      <c r="L101" s="60"/>
      <c r="M101" s="60"/>
      <c r="N101" s="60"/>
      <c r="O101" s="60"/>
    </row>
    <row r="102" spans="1:15" s="280" customFormat="1" x14ac:dyDescent="0.3">
      <c r="A102" s="60"/>
      <c r="B102" s="48"/>
      <c r="C102" s="48"/>
      <c r="D102" s="48"/>
      <c r="E102" s="48"/>
      <c r="F102" s="286"/>
      <c r="G102" s="48"/>
      <c r="H102" s="48"/>
      <c r="I102" s="48"/>
      <c r="K102" s="60"/>
      <c r="L102" s="60"/>
      <c r="M102" s="60"/>
      <c r="N102" s="60"/>
      <c r="O102" s="60"/>
    </row>
    <row r="103" spans="1:15" s="280" customFormat="1" x14ac:dyDescent="0.3">
      <c r="A103" s="60"/>
      <c r="B103" s="48"/>
      <c r="C103" s="48"/>
      <c r="D103" s="48"/>
      <c r="E103" s="48"/>
      <c r="F103" s="286"/>
      <c r="G103" s="48"/>
      <c r="H103" s="48"/>
      <c r="I103" s="48"/>
      <c r="K103" s="60"/>
      <c r="L103" s="60"/>
      <c r="M103" s="60"/>
      <c r="N103" s="60"/>
      <c r="O103" s="60"/>
    </row>
    <row r="104" spans="1:15" s="280" customFormat="1" x14ac:dyDescent="0.3">
      <c r="A104" s="60"/>
      <c r="B104" s="48"/>
      <c r="C104" s="48"/>
      <c r="D104" s="48"/>
      <c r="E104" s="48"/>
      <c r="F104" s="286"/>
      <c r="G104" s="48"/>
      <c r="H104" s="48"/>
      <c r="I104" s="48"/>
      <c r="K104" s="60"/>
      <c r="L104" s="60"/>
      <c r="M104" s="60"/>
      <c r="N104" s="60"/>
      <c r="O104" s="60"/>
    </row>
    <row r="105" spans="1:15" s="280" customFormat="1" x14ac:dyDescent="0.3">
      <c r="A105" s="60"/>
      <c r="B105" s="48"/>
      <c r="C105" s="48"/>
      <c r="D105" s="48"/>
      <c r="E105" s="48"/>
      <c r="F105" s="286"/>
      <c r="G105" s="48"/>
      <c r="H105" s="48"/>
      <c r="I105" s="48"/>
      <c r="K105" s="60"/>
      <c r="L105" s="60"/>
      <c r="M105" s="60"/>
      <c r="N105" s="60"/>
      <c r="O105" s="60"/>
    </row>
    <row r="106" spans="1:15" s="280" customFormat="1" x14ac:dyDescent="0.3">
      <c r="A106" s="60"/>
      <c r="B106" s="48"/>
      <c r="C106" s="48"/>
      <c r="D106" s="48"/>
      <c r="E106" s="48"/>
      <c r="F106" s="286"/>
      <c r="G106" s="48"/>
      <c r="H106" s="48"/>
      <c r="I106" s="48"/>
      <c r="K106" s="60"/>
      <c r="L106" s="60"/>
      <c r="M106" s="60"/>
      <c r="N106" s="60"/>
      <c r="O106" s="60"/>
    </row>
    <row r="107" spans="1:15" s="280" customFormat="1" x14ac:dyDescent="0.3">
      <c r="A107" s="60"/>
      <c r="B107" s="48"/>
      <c r="C107" s="48"/>
      <c r="D107" s="48"/>
      <c r="E107" s="48"/>
      <c r="F107" s="286"/>
      <c r="G107" s="48"/>
      <c r="H107" s="48"/>
      <c r="I107" s="48"/>
      <c r="K107" s="60"/>
      <c r="L107" s="60"/>
      <c r="M107" s="60"/>
      <c r="N107" s="60"/>
      <c r="O107" s="60"/>
    </row>
    <row r="108" spans="1:15" s="280" customFormat="1" x14ac:dyDescent="0.3">
      <c r="A108" s="60"/>
      <c r="B108" s="48"/>
      <c r="C108" s="48"/>
      <c r="D108" s="48"/>
      <c r="E108" s="48"/>
      <c r="F108" s="286"/>
      <c r="G108" s="48"/>
      <c r="H108" s="48"/>
      <c r="I108" s="48"/>
      <c r="K108" s="60"/>
      <c r="L108" s="60"/>
      <c r="M108" s="60"/>
      <c r="N108" s="60"/>
      <c r="O108" s="60"/>
    </row>
    <row r="109" spans="1:15" s="280" customFormat="1" x14ac:dyDescent="0.3">
      <c r="A109" s="60"/>
      <c r="B109" s="48"/>
      <c r="C109" s="48"/>
      <c r="D109" s="48"/>
      <c r="E109" s="48"/>
      <c r="F109" s="286"/>
      <c r="G109" s="48"/>
      <c r="H109" s="48"/>
      <c r="I109" s="48"/>
      <c r="K109" s="60"/>
      <c r="L109" s="60"/>
      <c r="M109" s="60"/>
      <c r="N109" s="60"/>
      <c r="O109" s="60"/>
    </row>
    <row r="110" spans="1:15" s="280" customFormat="1" x14ac:dyDescent="0.3">
      <c r="A110" s="60"/>
      <c r="B110" s="48"/>
      <c r="C110" s="48"/>
      <c r="D110" s="48"/>
      <c r="E110" s="48"/>
      <c r="F110" s="286"/>
      <c r="G110" s="48"/>
      <c r="H110" s="48"/>
      <c r="I110" s="48"/>
      <c r="K110" s="60"/>
      <c r="L110" s="60"/>
      <c r="M110" s="60"/>
      <c r="N110" s="60"/>
      <c r="O110" s="60"/>
    </row>
    <row r="111" spans="1:15" s="280" customFormat="1" x14ac:dyDescent="0.3">
      <c r="A111" s="60"/>
      <c r="B111" s="48"/>
      <c r="C111" s="48"/>
      <c r="D111" s="48"/>
      <c r="E111" s="48"/>
      <c r="F111" s="286"/>
      <c r="G111" s="48"/>
      <c r="H111" s="48"/>
      <c r="I111" s="48"/>
      <c r="K111" s="60"/>
      <c r="L111" s="60"/>
      <c r="M111" s="60"/>
      <c r="N111" s="60"/>
      <c r="O111" s="60"/>
    </row>
    <row r="112" spans="1:15" s="280" customFormat="1" x14ac:dyDescent="0.3">
      <c r="A112" s="60"/>
      <c r="B112" s="48"/>
      <c r="C112" s="48"/>
      <c r="D112" s="48"/>
      <c r="E112" s="48"/>
      <c r="F112" s="286"/>
      <c r="G112" s="48"/>
      <c r="H112" s="48"/>
      <c r="I112" s="48"/>
      <c r="K112" s="60"/>
      <c r="L112" s="60"/>
      <c r="M112" s="60"/>
      <c r="N112" s="60"/>
      <c r="O112" s="60"/>
    </row>
    <row r="113" spans="1:15" s="280" customFormat="1" x14ac:dyDescent="0.3">
      <c r="A113" s="60"/>
      <c r="B113" s="48"/>
      <c r="C113" s="48"/>
      <c r="D113" s="48"/>
      <c r="E113" s="48"/>
      <c r="F113" s="286"/>
      <c r="G113" s="48"/>
      <c r="H113" s="48"/>
      <c r="I113" s="48"/>
      <c r="K113" s="60"/>
      <c r="L113" s="60"/>
      <c r="M113" s="60"/>
      <c r="N113" s="60"/>
      <c r="O113" s="60"/>
    </row>
    <row r="114" spans="1:15" s="280" customFormat="1" x14ac:dyDescent="0.3">
      <c r="A114" s="60"/>
      <c r="B114" s="48"/>
      <c r="C114" s="48"/>
      <c r="D114" s="48"/>
      <c r="E114" s="48"/>
      <c r="F114" s="286"/>
      <c r="G114" s="48"/>
      <c r="H114" s="48"/>
      <c r="I114" s="48"/>
      <c r="K114" s="60"/>
      <c r="L114" s="60"/>
      <c r="M114" s="60"/>
      <c r="N114" s="60"/>
      <c r="O114" s="60"/>
    </row>
    <row r="115" spans="1:15" s="280" customFormat="1" x14ac:dyDescent="0.3">
      <c r="A115" s="60"/>
      <c r="B115" s="48"/>
      <c r="C115" s="48"/>
      <c r="D115" s="48"/>
      <c r="E115" s="48"/>
      <c r="F115" s="286"/>
      <c r="G115" s="48"/>
      <c r="H115" s="48"/>
      <c r="I115" s="48"/>
      <c r="K115" s="60"/>
      <c r="L115" s="60"/>
      <c r="M115" s="60"/>
      <c r="N115" s="60"/>
      <c r="O115" s="60"/>
    </row>
    <row r="116" spans="1:15" s="280" customFormat="1" x14ac:dyDescent="0.3">
      <c r="A116" s="60"/>
      <c r="B116" s="48"/>
      <c r="C116" s="48"/>
      <c r="D116" s="48"/>
      <c r="E116" s="48"/>
      <c r="F116" s="286"/>
      <c r="G116" s="48"/>
      <c r="H116" s="48"/>
      <c r="I116" s="48"/>
      <c r="K116" s="60"/>
      <c r="L116" s="60"/>
      <c r="M116" s="60"/>
      <c r="N116" s="60"/>
      <c r="O116" s="60"/>
    </row>
    <row r="117" spans="1:15" s="280" customFormat="1" x14ac:dyDescent="0.3">
      <c r="A117" s="60"/>
      <c r="B117" s="48"/>
      <c r="C117" s="48"/>
      <c r="D117" s="48"/>
      <c r="E117" s="48"/>
      <c r="F117" s="286"/>
      <c r="G117" s="48"/>
      <c r="H117" s="48"/>
      <c r="I117" s="48"/>
      <c r="K117" s="60"/>
      <c r="L117" s="60"/>
      <c r="M117" s="60"/>
      <c r="N117" s="60"/>
      <c r="O117" s="60"/>
    </row>
    <row r="118" spans="1:15" s="280" customFormat="1" x14ac:dyDescent="0.3">
      <c r="A118" s="60"/>
      <c r="B118" s="48"/>
      <c r="C118" s="48"/>
      <c r="D118" s="48"/>
      <c r="E118" s="48"/>
      <c r="F118" s="286"/>
      <c r="G118" s="48"/>
      <c r="H118" s="48"/>
      <c r="I118" s="48"/>
      <c r="K118" s="60"/>
      <c r="L118" s="60"/>
      <c r="M118" s="60"/>
      <c r="N118" s="60"/>
      <c r="O118" s="60"/>
    </row>
    <row r="119" spans="1:15" s="280" customFormat="1" x14ac:dyDescent="0.3">
      <c r="A119" s="60"/>
      <c r="B119" s="48"/>
      <c r="C119" s="48"/>
      <c r="D119" s="48"/>
      <c r="E119" s="48"/>
      <c r="F119" s="286"/>
      <c r="G119" s="48"/>
      <c r="H119" s="48"/>
      <c r="I119" s="48"/>
      <c r="K119" s="60"/>
      <c r="L119" s="60"/>
      <c r="M119" s="60"/>
      <c r="N119" s="60"/>
      <c r="O119" s="60"/>
    </row>
    <row r="120" spans="1:15" s="280" customFormat="1" x14ac:dyDescent="0.3">
      <c r="A120" s="60"/>
      <c r="B120" s="48"/>
      <c r="C120" s="48"/>
      <c r="D120" s="48"/>
      <c r="E120" s="48"/>
      <c r="F120" s="286"/>
      <c r="G120" s="48"/>
      <c r="H120" s="48"/>
      <c r="I120" s="48"/>
      <c r="K120" s="60"/>
      <c r="L120" s="60"/>
      <c r="M120" s="60"/>
      <c r="N120" s="60"/>
      <c r="O120" s="60"/>
    </row>
    <row r="121" spans="1:15" s="280" customFormat="1" x14ac:dyDescent="0.3">
      <c r="A121" s="60"/>
      <c r="B121" s="48"/>
      <c r="C121" s="48"/>
      <c r="D121" s="48"/>
      <c r="E121" s="48"/>
      <c r="F121" s="286"/>
      <c r="G121" s="48"/>
      <c r="H121" s="48"/>
      <c r="I121" s="48"/>
      <c r="K121" s="60"/>
      <c r="L121" s="60"/>
      <c r="M121" s="60"/>
      <c r="N121" s="60"/>
      <c r="O121" s="60"/>
    </row>
    <row r="122" spans="1:15" s="280" customFormat="1" x14ac:dyDescent="0.3">
      <c r="A122" s="60"/>
      <c r="B122" s="48"/>
      <c r="C122" s="48"/>
      <c r="D122" s="48"/>
      <c r="E122" s="48"/>
      <c r="F122" s="286"/>
      <c r="G122" s="48"/>
      <c r="H122" s="48"/>
      <c r="I122" s="48"/>
      <c r="K122" s="60"/>
      <c r="L122" s="60"/>
      <c r="M122" s="60"/>
      <c r="N122" s="60"/>
      <c r="O122" s="60"/>
    </row>
    <row r="123" spans="1:15" s="280" customFormat="1" x14ac:dyDescent="0.3">
      <c r="A123" s="60"/>
      <c r="B123" s="48"/>
      <c r="C123" s="48"/>
      <c r="D123" s="48"/>
      <c r="E123" s="48"/>
      <c r="F123" s="286"/>
      <c r="G123" s="48"/>
      <c r="H123" s="48"/>
      <c r="I123" s="48"/>
      <c r="K123" s="60"/>
      <c r="L123" s="60"/>
      <c r="M123" s="60"/>
      <c r="N123" s="60"/>
      <c r="O123" s="60"/>
    </row>
    <row r="124" spans="1:15" s="280" customFormat="1" x14ac:dyDescent="0.3">
      <c r="A124" s="60"/>
      <c r="B124" s="48"/>
      <c r="C124" s="48"/>
      <c r="D124" s="48"/>
      <c r="E124" s="48"/>
      <c r="F124" s="286"/>
      <c r="G124" s="48"/>
      <c r="H124" s="48"/>
      <c r="I124" s="48"/>
      <c r="K124" s="60"/>
      <c r="L124" s="60"/>
      <c r="M124" s="60"/>
      <c r="N124" s="60"/>
      <c r="O124" s="60"/>
    </row>
    <row r="125" spans="1:15" s="280" customFormat="1" x14ac:dyDescent="0.3">
      <c r="A125" s="60"/>
      <c r="B125" s="48"/>
      <c r="C125" s="48"/>
      <c r="D125" s="48"/>
      <c r="E125" s="48"/>
      <c r="F125" s="286"/>
      <c r="G125" s="48"/>
      <c r="H125" s="48"/>
      <c r="I125" s="48"/>
      <c r="K125" s="60"/>
      <c r="L125" s="60"/>
      <c r="M125" s="60"/>
      <c r="N125" s="60"/>
      <c r="O125" s="60"/>
    </row>
    <row r="126" spans="1:15" s="280" customFormat="1" x14ac:dyDescent="0.3">
      <c r="A126" s="60"/>
      <c r="B126" s="48"/>
      <c r="C126" s="48"/>
      <c r="D126" s="48"/>
      <c r="E126" s="48"/>
      <c r="F126" s="286"/>
      <c r="G126" s="48"/>
      <c r="H126" s="48"/>
      <c r="I126" s="48"/>
      <c r="K126" s="60"/>
      <c r="L126" s="60"/>
      <c r="M126" s="60"/>
      <c r="N126" s="60"/>
      <c r="O126" s="60"/>
    </row>
    <row r="127" spans="1:15" s="280" customFormat="1" x14ac:dyDescent="0.3">
      <c r="A127" s="60"/>
      <c r="B127" s="48"/>
      <c r="C127" s="48"/>
      <c r="D127" s="48"/>
      <c r="E127" s="48"/>
      <c r="F127" s="286"/>
      <c r="G127" s="48"/>
      <c r="H127" s="48"/>
      <c r="I127" s="48"/>
      <c r="K127" s="60"/>
      <c r="L127" s="60"/>
      <c r="M127" s="60"/>
      <c r="N127" s="60"/>
      <c r="O127" s="60"/>
    </row>
    <row r="128" spans="1:15" s="280" customFormat="1" x14ac:dyDescent="0.3">
      <c r="A128" s="60"/>
      <c r="B128" s="48"/>
      <c r="C128" s="48"/>
      <c r="D128" s="48"/>
      <c r="E128" s="48"/>
      <c r="F128" s="286"/>
      <c r="G128" s="48"/>
      <c r="H128" s="48"/>
      <c r="I128" s="48"/>
      <c r="K128" s="60"/>
      <c r="L128" s="60"/>
      <c r="M128" s="60"/>
      <c r="N128" s="60"/>
      <c r="O128" s="60"/>
    </row>
    <row r="129" spans="1:15" s="280" customFormat="1" x14ac:dyDescent="0.3">
      <c r="A129" s="60"/>
      <c r="B129" s="48"/>
      <c r="C129" s="48"/>
      <c r="D129" s="48"/>
      <c r="E129" s="48"/>
      <c r="F129" s="286"/>
      <c r="G129" s="48"/>
      <c r="H129" s="48"/>
      <c r="I129" s="48"/>
      <c r="K129" s="60"/>
      <c r="L129" s="60"/>
      <c r="M129" s="60"/>
      <c r="N129" s="60"/>
      <c r="O129" s="60"/>
    </row>
    <row r="130" spans="1:15" s="280" customFormat="1" x14ac:dyDescent="0.3">
      <c r="A130" s="60"/>
      <c r="B130" s="48"/>
      <c r="C130" s="48"/>
      <c r="D130" s="48"/>
      <c r="E130" s="48"/>
      <c r="F130" s="286"/>
      <c r="G130" s="48"/>
      <c r="H130" s="48"/>
      <c r="I130" s="48"/>
      <c r="K130" s="60"/>
      <c r="L130" s="60"/>
      <c r="M130" s="60"/>
      <c r="N130" s="60"/>
      <c r="O130" s="60"/>
    </row>
    <row r="131" spans="1:15" s="280" customFormat="1" x14ac:dyDescent="0.3">
      <c r="A131" s="60"/>
      <c r="B131" s="48"/>
      <c r="C131" s="48"/>
      <c r="D131" s="48"/>
      <c r="E131" s="48"/>
      <c r="F131" s="286"/>
      <c r="G131" s="48"/>
      <c r="H131" s="48"/>
      <c r="I131" s="48"/>
      <c r="K131" s="60"/>
      <c r="L131" s="60"/>
      <c r="M131" s="60"/>
      <c r="N131" s="60"/>
      <c r="O131" s="60"/>
    </row>
    <row r="132" spans="1:15" s="280" customFormat="1" x14ac:dyDescent="0.3">
      <c r="A132" s="60"/>
      <c r="B132" s="48"/>
      <c r="C132" s="48"/>
      <c r="D132" s="48"/>
      <c r="E132" s="48"/>
      <c r="F132" s="286"/>
      <c r="G132" s="48"/>
      <c r="H132" s="48"/>
      <c r="I132" s="48"/>
      <c r="K132" s="60"/>
      <c r="L132" s="60"/>
      <c r="M132" s="60"/>
      <c r="N132" s="60"/>
      <c r="O132" s="60"/>
    </row>
    <row r="133" spans="1:15" s="280" customFormat="1" x14ac:dyDescent="0.3">
      <c r="A133" s="60"/>
      <c r="B133" s="48"/>
      <c r="C133" s="48"/>
      <c r="D133" s="48"/>
      <c r="E133" s="48"/>
      <c r="F133" s="286"/>
      <c r="G133" s="48"/>
      <c r="H133" s="48"/>
      <c r="I133" s="48"/>
      <c r="K133" s="60"/>
      <c r="L133" s="60"/>
      <c r="M133" s="60"/>
      <c r="N133" s="60"/>
      <c r="O133" s="60"/>
    </row>
    <row r="134" spans="1:15" s="280" customFormat="1" x14ac:dyDescent="0.3">
      <c r="A134" s="60"/>
      <c r="B134" s="48"/>
      <c r="C134" s="48"/>
      <c r="D134" s="48"/>
      <c r="E134" s="48"/>
      <c r="F134" s="286"/>
      <c r="G134" s="48"/>
      <c r="H134" s="48"/>
      <c r="I134" s="48"/>
      <c r="K134" s="60"/>
      <c r="L134" s="60"/>
      <c r="M134" s="60"/>
      <c r="N134" s="60"/>
      <c r="O134" s="60"/>
    </row>
    <row r="135" spans="1:15" s="280" customFormat="1" x14ac:dyDescent="0.3">
      <c r="A135" s="60"/>
      <c r="B135" s="48"/>
      <c r="C135" s="48"/>
      <c r="D135" s="48"/>
      <c r="E135" s="48"/>
      <c r="F135" s="286"/>
      <c r="G135" s="48"/>
      <c r="H135" s="48"/>
      <c r="I135" s="48"/>
      <c r="K135" s="60"/>
      <c r="L135" s="60"/>
      <c r="M135" s="60"/>
      <c r="N135" s="60"/>
      <c r="O135" s="60"/>
    </row>
    <row r="136" spans="1:15" s="280" customFormat="1" x14ac:dyDescent="0.3">
      <c r="A136" s="60"/>
      <c r="B136" s="48"/>
      <c r="C136" s="48"/>
      <c r="D136" s="48"/>
      <c r="E136" s="48"/>
      <c r="F136" s="286"/>
      <c r="G136" s="48"/>
      <c r="H136" s="48"/>
      <c r="I136" s="48"/>
      <c r="K136" s="60"/>
      <c r="L136" s="60"/>
      <c r="M136" s="60"/>
      <c r="N136" s="60"/>
      <c r="O136" s="60"/>
    </row>
    <row r="137" spans="1:15" s="280" customFormat="1" x14ac:dyDescent="0.3">
      <c r="A137" s="60"/>
      <c r="B137" s="48"/>
      <c r="C137" s="48"/>
      <c r="D137" s="48"/>
      <c r="E137" s="48"/>
      <c r="F137" s="286"/>
      <c r="G137" s="48"/>
      <c r="H137" s="48"/>
      <c r="I137" s="48"/>
      <c r="K137" s="60"/>
      <c r="L137" s="60"/>
      <c r="M137" s="60"/>
      <c r="N137" s="60"/>
      <c r="O137" s="60"/>
    </row>
    <row r="138" spans="1:15" s="280" customFormat="1" x14ac:dyDescent="0.3">
      <c r="A138" s="60"/>
      <c r="B138" s="48"/>
      <c r="C138" s="48"/>
      <c r="D138" s="48"/>
      <c r="E138" s="48"/>
      <c r="F138" s="286"/>
      <c r="G138" s="48"/>
      <c r="H138" s="48"/>
      <c r="I138" s="48"/>
      <c r="K138" s="60"/>
      <c r="L138" s="60"/>
      <c r="M138" s="60"/>
      <c r="N138" s="60"/>
      <c r="O138" s="60"/>
    </row>
    <row r="139" spans="1:15" s="280" customFormat="1" x14ac:dyDescent="0.3">
      <c r="A139" s="60"/>
      <c r="B139" s="48"/>
      <c r="C139" s="48"/>
      <c r="D139" s="48"/>
      <c r="E139" s="48"/>
      <c r="F139" s="286"/>
      <c r="G139" s="48"/>
      <c r="H139" s="48"/>
      <c r="I139" s="48"/>
      <c r="K139" s="60"/>
      <c r="L139" s="60"/>
      <c r="M139" s="60"/>
      <c r="N139" s="60"/>
      <c r="O139" s="60"/>
    </row>
    <row r="140" spans="1:15" s="280" customFormat="1" x14ac:dyDescent="0.3">
      <c r="A140" s="60"/>
      <c r="B140" s="48"/>
      <c r="C140" s="48"/>
      <c r="D140" s="48"/>
      <c r="E140" s="48"/>
      <c r="F140" s="286"/>
      <c r="G140" s="48"/>
      <c r="H140" s="48"/>
      <c r="I140" s="48"/>
      <c r="K140" s="60"/>
      <c r="L140" s="60"/>
      <c r="M140" s="60"/>
      <c r="N140" s="60"/>
      <c r="O140" s="60"/>
    </row>
    <row r="141" spans="1:15" s="280" customFormat="1" x14ac:dyDescent="0.3">
      <c r="A141" s="60"/>
      <c r="B141" s="48"/>
      <c r="C141" s="48"/>
      <c r="D141" s="48"/>
      <c r="E141" s="48"/>
      <c r="F141" s="286"/>
      <c r="G141" s="48"/>
      <c r="H141" s="48"/>
      <c r="I141" s="48"/>
      <c r="K141" s="60"/>
      <c r="L141" s="60"/>
      <c r="M141" s="60"/>
      <c r="N141" s="60"/>
      <c r="O141" s="60"/>
    </row>
    <row r="142" spans="1:15" s="280" customFormat="1" x14ac:dyDescent="0.3">
      <c r="A142" s="60"/>
      <c r="B142" s="48"/>
      <c r="C142" s="48"/>
      <c r="D142" s="48"/>
      <c r="E142" s="48"/>
      <c r="F142" s="286"/>
      <c r="G142" s="48"/>
      <c r="H142" s="48"/>
      <c r="I142" s="48"/>
      <c r="K142" s="60"/>
      <c r="L142" s="60"/>
      <c r="M142" s="60"/>
      <c r="N142" s="60"/>
      <c r="O142" s="60"/>
    </row>
    <row r="143" spans="1:15" s="280" customFormat="1" x14ac:dyDescent="0.3">
      <c r="A143" s="60"/>
      <c r="B143" s="48"/>
      <c r="C143" s="48"/>
      <c r="D143" s="48"/>
      <c r="E143" s="48"/>
      <c r="F143" s="286"/>
      <c r="G143" s="48"/>
      <c r="H143" s="48"/>
      <c r="I143" s="48"/>
      <c r="K143" s="60"/>
      <c r="L143" s="60"/>
      <c r="M143" s="60"/>
      <c r="N143" s="60"/>
      <c r="O143" s="60"/>
    </row>
    <row r="144" spans="1:15" s="280" customFormat="1" x14ac:dyDescent="0.3">
      <c r="A144" s="60"/>
      <c r="B144" s="48"/>
      <c r="C144" s="48"/>
      <c r="D144" s="48"/>
      <c r="E144" s="48"/>
      <c r="F144" s="286"/>
      <c r="G144" s="48"/>
      <c r="H144" s="48"/>
      <c r="I144" s="48"/>
      <c r="K144" s="60"/>
      <c r="L144" s="60"/>
      <c r="M144" s="60"/>
      <c r="N144" s="60"/>
      <c r="O144" s="60"/>
    </row>
    <row r="145" spans="1:15" s="280" customFormat="1" x14ac:dyDescent="0.3">
      <c r="A145" s="60"/>
      <c r="B145" s="48"/>
      <c r="C145" s="48"/>
      <c r="D145" s="48"/>
      <c r="E145" s="48"/>
      <c r="F145" s="286"/>
      <c r="G145" s="48"/>
      <c r="H145" s="48"/>
      <c r="I145" s="48"/>
      <c r="K145" s="60"/>
      <c r="L145" s="60"/>
      <c r="M145" s="60"/>
      <c r="N145" s="60"/>
      <c r="O145" s="60"/>
    </row>
    <row r="146" spans="1:15" s="280" customFormat="1" x14ac:dyDescent="0.3">
      <c r="A146" s="60"/>
      <c r="B146" s="48"/>
      <c r="C146" s="48"/>
      <c r="D146" s="48"/>
      <c r="E146" s="48"/>
      <c r="F146" s="286"/>
      <c r="G146" s="48"/>
      <c r="H146" s="48"/>
      <c r="I146" s="48"/>
      <c r="K146" s="60"/>
      <c r="L146" s="60"/>
      <c r="M146" s="60"/>
      <c r="N146" s="60"/>
      <c r="O146" s="60"/>
    </row>
    <row r="147" spans="1:15" s="280" customFormat="1" x14ac:dyDescent="0.3">
      <c r="A147" s="60"/>
      <c r="B147" s="48"/>
      <c r="C147" s="48"/>
      <c r="D147" s="48"/>
      <c r="E147" s="48"/>
      <c r="F147" s="286"/>
      <c r="G147" s="48"/>
      <c r="H147" s="48"/>
      <c r="I147" s="48"/>
      <c r="K147" s="60"/>
      <c r="L147" s="60"/>
      <c r="M147" s="60"/>
      <c r="N147" s="60"/>
      <c r="O147" s="60"/>
    </row>
    <row r="148" spans="1:15" s="280" customFormat="1" x14ac:dyDescent="0.3">
      <c r="A148" s="60"/>
      <c r="B148" s="48"/>
      <c r="C148" s="48"/>
      <c r="D148" s="48"/>
      <c r="E148" s="48"/>
      <c r="F148" s="286"/>
      <c r="G148" s="48"/>
      <c r="H148" s="48"/>
      <c r="I148" s="48"/>
      <c r="K148" s="60"/>
      <c r="L148" s="60"/>
      <c r="M148" s="60"/>
      <c r="N148" s="60"/>
      <c r="O148" s="60"/>
    </row>
    <row r="149" spans="1:15" s="280" customFormat="1" x14ac:dyDescent="0.3">
      <c r="A149" s="60"/>
      <c r="B149" s="48"/>
      <c r="C149" s="48"/>
      <c r="D149" s="48"/>
      <c r="E149" s="48"/>
      <c r="F149" s="286"/>
      <c r="G149" s="48"/>
      <c r="H149" s="48"/>
      <c r="I149" s="48"/>
      <c r="K149" s="60"/>
      <c r="L149" s="60"/>
      <c r="M149" s="60"/>
      <c r="N149" s="60"/>
      <c r="O149" s="60"/>
    </row>
    <row r="150" spans="1:15" s="280" customFormat="1" x14ac:dyDescent="0.3">
      <c r="A150" s="60"/>
      <c r="B150" s="48"/>
      <c r="C150" s="48"/>
      <c r="D150" s="48"/>
      <c r="E150" s="48"/>
      <c r="F150" s="286"/>
      <c r="G150" s="48"/>
      <c r="H150" s="48"/>
      <c r="I150" s="48"/>
      <c r="K150" s="60"/>
      <c r="L150" s="60"/>
      <c r="M150" s="60"/>
      <c r="N150" s="60"/>
      <c r="O150" s="60"/>
    </row>
    <row r="151" spans="1:15" s="280" customFormat="1" x14ac:dyDescent="0.3">
      <c r="A151" s="60"/>
      <c r="B151" s="48"/>
      <c r="C151" s="48"/>
      <c r="D151" s="48"/>
      <c r="E151" s="48"/>
      <c r="F151" s="286"/>
      <c r="G151" s="48"/>
      <c r="H151" s="48"/>
      <c r="I151" s="48"/>
      <c r="K151" s="60"/>
      <c r="L151" s="60"/>
      <c r="M151" s="60"/>
      <c r="N151" s="60"/>
      <c r="O151" s="60"/>
    </row>
    <row r="152" spans="1:15" s="280" customFormat="1" x14ac:dyDescent="0.3">
      <c r="A152" s="60"/>
      <c r="B152" s="48"/>
      <c r="C152" s="48"/>
      <c r="D152" s="48"/>
      <c r="E152" s="48"/>
      <c r="F152" s="286"/>
      <c r="G152" s="48"/>
      <c r="H152" s="48"/>
      <c r="I152" s="48"/>
      <c r="K152" s="60"/>
      <c r="L152" s="60"/>
      <c r="M152" s="60"/>
      <c r="N152" s="60"/>
      <c r="O152" s="60"/>
    </row>
    <row r="153" spans="1:15" s="280" customFormat="1" x14ac:dyDescent="0.3">
      <c r="A153" s="60"/>
      <c r="B153" s="48"/>
      <c r="C153" s="48"/>
      <c r="D153" s="48"/>
      <c r="E153" s="48"/>
      <c r="F153" s="286"/>
      <c r="G153" s="48"/>
      <c r="H153" s="48"/>
      <c r="I153" s="48"/>
      <c r="K153" s="60"/>
      <c r="L153" s="60"/>
      <c r="M153" s="60"/>
      <c r="N153" s="60"/>
      <c r="O153" s="60"/>
    </row>
    <row r="154" spans="1:15" s="280" customFormat="1" x14ac:dyDescent="0.3">
      <c r="A154" s="60"/>
      <c r="B154" s="48"/>
      <c r="C154" s="48"/>
      <c r="D154" s="48"/>
      <c r="E154" s="48"/>
      <c r="F154" s="286"/>
      <c r="G154" s="48"/>
      <c r="H154" s="48"/>
      <c r="I154" s="48"/>
      <c r="K154" s="60"/>
      <c r="L154" s="60"/>
      <c r="M154" s="60"/>
      <c r="N154" s="60"/>
      <c r="O154" s="60"/>
    </row>
    <row r="155" spans="1:15" s="280" customFormat="1" x14ac:dyDescent="0.3">
      <c r="A155" s="60"/>
      <c r="B155" s="48"/>
      <c r="C155" s="48"/>
      <c r="D155" s="48"/>
      <c r="E155" s="48"/>
      <c r="F155" s="286"/>
      <c r="G155" s="48"/>
      <c r="H155" s="48"/>
      <c r="I155" s="48"/>
      <c r="K155" s="60"/>
      <c r="L155" s="60"/>
      <c r="M155" s="60"/>
      <c r="N155" s="60"/>
      <c r="O155" s="60"/>
    </row>
    <row r="156" spans="1:15" s="280" customFormat="1" x14ac:dyDescent="0.3">
      <c r="A156" s="60"/>
      <c r="B156" s="48"/>
      <c r="C156" s="48"/>
      <c r="D156" s="48"/>
      <c r="E156" s="48"/>
      <c r="F156" s="286"/>
      <c r="G156" s="48"/>
      <c r="H156" s="48"/>
      <c r="I156" s="48"/>
      <c r="K156" s="60"/>
      <c r="L156" s="60"/>
      <c r="M156" s="60"/>
      <c r="N156" s="60"/>
      <c r="O156" s="60"/>
    </row>
    <row r="157" spans="1:15" s="280" customFormat="1" x14ac:dyDescent="0.3">
      <c r="A157" s="60"/>
      <c r="B157" s="48"/>
      <c r="C157" s="48"/>
      <c r="D157" s="48"/>
      <c r="E157" s="48"/>
      <c r="F157" s="286"/>
      <c r="G157" s="48"/>
      <c r="H157" s="48"/>
      <c r="I157" s="48"/>
      <c r="K157" s="60"/>
      <c r="L157" s="60"/>
      <c r="M157" s="60"/>
      <c r="N157" s="60"/>
      <c r="O157" s="60"/>
    </row>
    <row r="158" spans="1:15" s="280" customFormat="1" x14ac:dyDescent="0.3">
      <c r="A158" s="60"/>
      <c r="B158" s="48"/>
      <c r="C158" s="48"/>
      <c r="D158" s="48"/>
      <c r="E158" s="48"/>
      <c r="F158" s="286"/>
      <c r="G158" s="48"/>
      <c r="H158" s="48"/>
      <c r="I158" s="48"/>
      <c r="K158" s="60"/>
      <c r="L158" s="60"/>
      <c r="M158" s="60"/>
      <c r="N158" s="60"/>
      <c r="O158" s="60"/>
    </row>
    <row r="159" spans="1:15" s="280" customFormat="1" x14ac:dyDescent="0.3">
      <c r="A159" s="60"/>
      <c r="B159" s="48"/>
      <c r="C159" s="48"/>
      <c r="D159" s="48"/>
      <c r="E159" s="48"/>
      <c r="F159" s="286"/>
      <c r="G159" s="48"/>
      <c r="H159" s="48"/>
      <c r="I159" s="48"/>
      <c r="K159" s="60"/>
      <c r="L159" s="60"/>
      <c r="M159" s="60"/>
      <c r="N159" s="60"/>
      <c r="O159" s="60"/>
    </row>
    <row r="160" spans="1:15" s="280" customFormat="1" x14ac:dyDescent="0.3">
      <c r="A160" s="60"/>
      <c r="B160" s="48"/>
      <c r="C160" s="48"/>
      <c r="D160" s="48"/>
      <c r="E160" s="48"/>
      <c r="F160" s="286"/>
      <c r="G160" s="48"/>
      <c r="H160" s="48"/>
      <c r="I160" s="48"/>
      <c r="K160" s="60"/>
      <c r="L160" s="60"/>
      <c r="M160" s="60"/>
      <c r="N160" s="60"/>
      <c r="O160" s="60"/>
    </row>
    <row r="161" spans="1:15" s="280" customFormat="1" x14ac:dyDescent="0.3">
      <c r="A161" s="60"/>
      <c r="B161" s="48"/>
      <c r="C161" s="48"/>
      <c r="D161" s="48"/>
      <c r="E161" s="48"/>
      <c r="F161" s="286"/>
      <c r="G161" s="48"/>
      <c r="H161" s="48"/>
      <c r="I161" s="48"/>
      <c r="K161" s="60"/>
      <c r="L161" s="60"/>
      <c r="M161" s="60"/>
      <c r="N161" s="60"/>
      <c r="O161" s="60"/>
    </row>
    <row r="162" spans="1:15" s="280" customFormat="1" x14ac:dyDescent="0.3">
      <c r="A162" s="60"/>
      <c r="B162" s="48"/>
      <c r="C162" s="48"/>
      <c r="D162" s="48"/>
      <c r="E162" s="48"/>
      <c r="F162" s="286"/>
      <c r="G162" s="48"/>
      <c r="H162" s="48"/>
      <c r="I162" s="48"/>
      <c r="K162" s="60"/>
      <c r="L162" s="60"/>
      <c r="M162" s="60"/>
      <c r="N162" s="60"/>
      <c r="O162" s="60"/>
    </row>
    <row r="163" spans="1:15" s="280" customFormat="1" x14ac:dyDescent="0.3">
      <c r="A163" s="60"/>
      <c r="B163" s="48"/>
      <c r="C163" s="48"/>
      <c r="D163" s="48"/>
      <c r="E163" s="48"/>
      <c r="F163" s="286"/>
      <c r="G163" s="48"/>
      <c r="H163" s="48"/>
      <c r="I163" s="48"/>
      <c r="K163" s="60"/>
      <c r="L163" s="60"/>
      <c r="M163" s="60"/>
      <c r="N163" s="60"/>
      <c r="O163" s="60"/>
    </row>
    <row r="164" spans="1:15" s="280" customFormat="1" x14ac:dyDescent="0.3">
      <c r="A164" s="60"/>
      <c r="B164" s="48"/>
      <c r="C164" s="48"/>
      <c r="D164" s="48"/>
      <c r="E164" s="48"/>
      <c r="F164" s="286"/>
      <c r="G164" s="48"/>
      <c r="H164" s="48"/>
      <c r="I164" s="48"/>
      <c r="K164" s="60"/>
      <c r="L164" s="60"/>
      <c r="M164" s="60"/>
      <c r="N164" s="60"/>
      <c r="O164" s="60"/>
    </row>
    <row r="165" spans="1:15" s="280" customFormat="1" x14ac:dyDescent="0.3">
      <c r="A165" s="60"/>
      <c r="B165" s="48"/>
      <c r="C165" s="48"/>
      <c r="D165" s="48"/>
      <c r="E165" s="48"/>
      <c r="F165" s="286"/>
      <c r="G165" s="48"/>
      <c r="H165" s="48"/>
      <c r="I165" s="48"/>
      <c r="K165" s="60"/>
      <c r="L165" s="60"/>
      <c r="M165" s="60"/>
      <c r="N165" s="60"/>
      <c r="O165" s="60"/>
    </row>
    <row r="166" spans="1:15" s="280" customFormat="1" x14ac:dyDescent="0.3">
      <c r="A166" s="60"/>
      <c r="B166" s="48"/>
      <c r="C166" s="48"/>
      <c r="D166" s="48"/>
      <c r="E166" s="48"/>
      <c r="F166" s="286"/>
      <c r="G166" s="48"/>
      <c r="H166" s="48"/>
      <c r="I166" s="48"/>
      <c r="K166" s="60"/>
      <c r="L166" s="60"/>
      <c r="M166" s="60"/>
      <c r="N166" s="60"/>
      <c r="O166" s="60"/>
    </row>
    <row r="167" spans="1:15" s="280" customFormat="1" x14ac:dyDescent="0.3">
      <c r="A167" s="60"/>
      <c r="B167" s="48"/>
      <c r="C167" s="48"/>
      <c r="D167" s="48"/>
      <c r="E167" s="48"/>
      <c r="F167" s="286"/>
      <c r="G167" s="48"/>
      <c r="H167" s="48"/>
      <c r="I167" s="48"/>
      <c r="K167" s="60"/>
      <c r="L167" s="60"/>
      <c r="M167" s="60"/>
      <c r="N167" s="60"/>
      <c r="O167" s="60"/>
    </row>
    <row r="168" spans="1:15" s="280" customFormat="1" x14ac:dyDescent="0.3">
      <c r="A168" s="60"/>
      <c r="B168" s="48"/>
      <c r="C168" s="48"/>
      <c r="D168" s="48"/>
      <c r="E168" s="48"/>
      <c r="F168" s="286"/>
      <c r="G168" s="48"/>
      <c r="H168" s="48"/>
      <c r="I168" s="48"/>
      <c r="K168" s="60"/>
      <c r="L168" s="60"/>
      <c r="M168" s="60"/>
      <c r="N168" s="60"/>
      <c r="O168" s="60"/>
    </row>
    <row r="169" spans="1:15" s="280" customFormat="1" x14ac:dyDescent="0.3">
      <c r="A169" s="60"/>
      <c r="B169" s="48"/>
      <c r="C169" s="48"/>
      <c r="D169" s="48"/>
      <c r="E169" s="48"/>
      <c r="F169" s="286"/>
      <c r="G169" s="48"/>
      <c r="H169" s="48"/>
      <c r="I169" s="48"/>
      <c r="K169" s="60"/>
      <c r="L169" s="60"/>
      <c r="M169" s="60"/>
      <c r="N169" s="60"/>
      <c r="O169" s="60"/>
    </row>
    <row r="170" spans="1:15" s="280" customFormat="1" x14ac:dyDescent="0.3">
      <c r="A170" s="60"/>
      <c r="B170" s="48"/>
      <c r="C170" s="48"/>
      <c r="D170" s="48"/>
      <c r="E170" s="48"/>
      <c r="F170" s="286"/>
      <c r="G170" s="48"/>
      <c r="H170" s="48"/>
      <c r="I170" s="48"/>
      <c r="K170" s="60"/>
      <c r="L170" s="60"/>
      <c r="M170" s="60"/>
      <c r="N170" s="60"/>
      <c r="O170" s="60"/>
    </row>
    <row r="171" spans="1:15" s="280" customFormat="1" x14ac:dyDescent="0.3">
      <c r="A171" s="60"/>
      <c r="B171" s="48"/>
      <c r="C171" s="48"/>
      <c r="D171" s="48"/>
      <c r="E171" s="48"/>
      <c r="F171" s="286"/>
      <c r="G171" s="48"/>
      <c r="H171" s="48"/>
      <c r="I171" s="48"/>
      <c r="K171" s="60"/>
      <c r="L171" s="60"/>
      <c r="M171" s="60"/>
      <c r="N171" s="60"/>
      <c r="O171" s="60"/>
    </row>
    <row r="172" spans="1:15" s="280" customFormat="1" x14ac:dyDescent="0.3">
      <c r="A172" s="60"/>
      <c r="B172" s="48"/>
      <c r="C172" s="48"/>
      <c r="D172" s="48"/>
      <c r="E172" s="48"/>
      <c r="F172" s="286"/>
      <c r="G172" s="48"/>
      <c r="H172" s="48"/>
      <c r="I172" s="48"/>
      <c r="K172" s="60"/>
      <c r="L172" s="60"/>
      <c r="M172" s="60"/>
      <c r="N172" s="60"/>
      <c r="O172" s="60"/>
    </row>
    <row r="173" spans="1:15" s="280" customFormat="1" x14ac:dyDescent="0.3">
      <c r="A173" s="60"/>
      <c r="B173" s="48"/>
      <c r="C173" s="48"/>
      <c r="D173" s="48"/>
      <c r="E173" s="48"/>
      <c r="F173" s="286"/>
      <c r="G173" s="48"/>
      <c r="H173" s="48"/>
      <c r="I173" s="48"/>
      <c r="K173" s="60"/>
      <c r="L173" s="60"/>
      <c r="M173" s="60"/>
      <c r="N173" s="60"/>
      <c r="O173" s="60"/>
    </row>
    <row r="174" spans="1:15" s="280" customFormat="1" x14ac:dyDescent="0.3">
      <c r="A174" s="60"/>
      <c r="B174" s="48"/>
      <c r="C174" s="48"/>
      <c r="D174" s="48"/>
      <c r="E174" s="48"/>
      <c r="F174" s="286"/>
      <c r="G174" s="48"/>
      <c r="H174" s="48"/>
      <c r="I174" s="48"/>
      <c r="K174" s="60"/>
      <c r="L174" s="60"/>
      <c r="M174" s="60"/>
      <c r="N174" s="60"/>
      <c r="O174" s="60"/>
    </row>
    <row r="175" spans="1:15" s="280" customFormat="1" x14ac:dyDescent="0.3">
      <c r="A175" s="60"/>
      <c r="B175" s="48"/>
      <c r="C175" s="48"/>
      <c r="D175" s="48"/>
      <c r="E175" s="48"/>
      <c r="F175" s="286"/>
      <c r="G175" s="48"/>
      <c r="H175" s="48"/>
      <c r="I175" s="48"/>
      <c r="K175" s="60"/>
      <c r="L175" s="60"/>
      <c r="M175" s="60"/>
      <c r="N175" s="60"/>
      <c r="O175" s="60"/>
    </row>
    <row r="176" spans="1:15" s="280" customFormat="1" x14ac:dyDescent="0.3">
      <c r="A176" s="60"/>
      <c r="B176" s="48"/>
      <c r="C176" s="48"/>
      <c r="D176" s="48"/>
      <c r="E176" s="48"/>
      <c r="F176" s="286"/>
      <c r="G176" s="48"/>
      <c r="H176" s="48"/>
      <c r="I176" s="48"/>
      <c r="K176" s="60"/>
      <c r="L176" s="60"/>
      <c r="M176" s="60"/>
      <c r="N176" s="60"/>
      <c r="O176" s="60"/>
    </row>
  </sheetData>
  <mergeCells count="7">
    <mergeCell ref="H17:I18"/>
    <mergeCell ref="F19:F20"/>
    <mergeCell ref="B17:F18"/>
    <mergeCell ref="B19:B21"/>
    <mergeCell ref="C19:C20"/>
    <mergeCell ref="D19:D20"/>
    <mergeCell ref="E19:E21"/>
  </mergeCells>
  <pageMargins left="0.7" right="0.7" top="0.75" bottom="0.75" header="0.3" footer="0.3"/>
  <pageSetup orientation="landscape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workbookViewId="0">
      <selection sqref="A1:P1"/>
    </sheetView>
  </sheetViews>
  <sheetFormatPr defaultColWidth="9" defaultRowHeight="15.75" x14ac:dyDescent="0.25"/>
  <cols>
    <col min="1" max="1" width="12.140625" style="416" customWidth="1"/>
    <col min="2" max="2" width="5.42578125" style="388" customWidth="1"/>
    <col min="3" max="3" width="6.42578125" style="388" customWidth="1"/>
    <col min="4" max="4" width="42.140625" style="388" customWidth="1"/>
    <col min="5" max="6" width="11.85546875" style="388" bestFit="1" customWidth="1"/>
    <col min="7" max="7" width="4.85546875" style="389" customWidth="1"/>
    <col min="8" max="8" width="5.5703125" style="389" customWidth="1"/>
    <col min="9" max="9" width="45" style="389" customWidth="1"/>
    <col min="10" max="11" width="11.85546875" style="388" bestFit="1" customWidth="1"/>
    <col min="12" max="12" width="4.7109375" style="389" customWidth="1"/>
    <col min="13" max="13" width="5.5703125" style="389" customWidth="1"/>
    <col min="14" max="14" width="44.140625" style="389" customWidth="1"/>
    <col min="15" max="15" width="12" style="388" customWidth="1"/>
    <col min="16" max="16" width="11.85546875" style="388" bestFit="1" customWidth="1"/>
    <col min="17" max="16384" width="9" style="389"/>
  </cols>
  <sheetData>
    <row r="1" spans="1:17" s="386" customFormat="1" ht="14.65" customHeight="1" x14ac:dyDescent="0.25">
      <c r="A1" s="732" t="s">
        <v>570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</row>
    <row r="2" spans="1:17" x14ac:dyDescent="0.25">
      <c r="A2" s="387" t="s">
        <v>562</v>
      </c>
      <c r="I2" s="390"/>
    </row>
    <row r="3" spans="1:17" x14ac:dyDescent="0.25">
      <c r="B3" s="392"/>
      <c r="C3" s="392"/>
      <c r="D3" s="392"/>
      <c r="E3" s="392"/>
      <c r="F3" s="392"/>
      <c r="G3" s="393"/>
      <c r="H3" s="393"/>
      <c r="I3" s="393"/>
      <c r="J3" s="392"/>
      <c r="K3" s="392"/>
      <c r="L3" s="393"/>
      <c r="M3" s="393"/>
      <c r="N3" s="393"/>
      <c r="O3" s="392"/>
      <c r="P3" s="392"/>
      <c r="Q3" s="393"/>
    </row>
    <row r="4" spans="1:17" ht="15.75" customHeight="1" x14ac:dyDescent="0.25">
      <c r="B4" s="394"/>
      <c r="C4" s="737" t="s">
        <v>19</v>
      </c>
      <c r="D4" s="738"/>
      <c r="E4" s="738"/>
      <c r="F4" s="739"/>
      <c r="G4" s="393"/>
      <c r="H4" s="737" t="s">
        <v>818</v>
      </c>
      <c r="I4" s="738"/>
      <c r="J4" s="738"/>
      <c r="K4" s="739"/>
      <c r="L4" s="393"/>
      <c r="M4" s="737" t="s">
        <v>20</v>
      </c>
      <c r="N4" s="738"/>
      <c r="O4" s="738"/>
      <c r="P4" s="739"/>
      <c r="Q4" s="393"/>
    </row>
    <row r="5" spans="1:17" x14ac:dyDescent="0.25">
      <c r="B5" s="395"/>
      <c r="C5" s="396"/>
      <c r="D5" s="397"/>
      <c r="E5" s="395" t="s">
        <v>0</v>
      </c>
      <c r="F5" s="395" t="s">
        <v>1</v>
      </c>
      <c r="G5" s="393"/>
      <c r="H5" s="397"/>
      <c r="I5" s="397"/>
      <c r="J5" s="395" t="s">
        <v>0</v>
      </c>
      <c r="K5" s="395" t="s">
        <v>1</v>
      </c>
      <c r="L5" s="393"/>
      <c r="M5" s="397"/>
      <c r="N5" s="397"/>
      <c r="O5" s="395" t="s">
        <v>0</v>
      </c>
      <c r="P5" s="395" t="s">
        <v>1</v>
      </c>
      <c r="Q5" s="393"/>
    </row>
    <row r="6" spans="1:17" x14ac:dyDescent="0.25">
      <c r="A6" s="398" t="s">
        <v>102</v>
      </c>
      <c r="B6" s="395"/>
      <c r="C6" s="399"/>
      <c r="D6" s="395"/>
      <c r="E6" s="395"/>
      <c r="F6" s="395"/>
      <c r="G6" s="393"/>
      <c r="H6" s="397"/>
      <c r="I6" s="397"/>
      <c r="J6" s="395"/>
      <c r="K6" s="395"/>
      <c r="L6" s="393"/>
      <c r="M6" s="397"/>
      <c r="N6" s="397"/>
      <c r="O6" s="395"/>
      <c r="P6" s="395"/>
      <c r="Q6" s="393"/>
    </row>
    <row r="7" spans="1:17" s="418" customFormat="1" x14ac:dyDescent="0.25">
      <c r="A7" s="417" t="s">
        <v>480</v>
      </c>
      <c r="B7" s="401"/>
      <c r="C7" s="418" t="s">
        <v>551</v>
      </c>
      <c r="E7" s="401">
        <f>+'Example 6 Assumptions Summary'!I20</f>
        <v>2599209</v>
      </c>
      <c r="F7" s="401"/>
      <c r="G7" s="393"/>
      <c r="H7" s="418" t="s">
        <v>55</v>
      </c>
      <c r="J7" s="419">
        <f>+K10</f>
        <v>2599209</v>
      </c>
      <c r="K7" s="403"/>
      <c r="L7" s="393"/>
      <c r="M7" s="404" t="str">
        <f>+H7</f>
        <v>Lease asset</v>
      </c>
      <c r="N7" s="404"/>
      <c r="O7" s="401">
        <f>+J7</f>
        <v>2599209</v>
      </c>
      <c r="P7" s="401"/>
      <c r="Q7" s="401"/>
    </row>
    <row r="8" spans="1:17" s="418" customFormat="1" x14ac:dyDescent="0.25">
      <c r="A8" s="417"/>
      <c r="B8" s="401"/>
      <c r="C8" s="418" t="s">
        <v>571</v>
      </c>
      <c r="E8" s="401">
        <f>+'Example 6 Assumptions Summary'!I26</f>
        <v>25000</v>
      </c>
      <c r="F8" s="401"/>
      <c r="G8" s="393"/>
      <c r="H8" s="418" t="str">
        <f>+D9</f>
        <v>Other financing source - lease payable</v>
      </c>
      <c r="J8" s="419">
        <f>+F9</f>
        <v>2549209</v>
      </c>
      <c r="K8" s="403"/>
      <c r="L8" s="393"/>
      <c r="M8" s="404" t="str">
        <f>+C8</f>
        <v>Damage deposit</v>
      </c>
      <c r="N8" s="404"/>
      <c r="O8" s="401">
        <f>+E8</f>
        <v>25000</v>
      </c>
      <c r="P8" s="401"/>
      <c r="Q8" s="401"/>
    </row>
    <row r="9" spans="1:17" s="418" customFormat="1" x14ac:dyDescent="0.25">
      <c r="A9" s="420"/>
      <c r="B9" s="401"/>
      <c r="D9" s="418" t="s">
        <v>518</v>
      </c>
      <c r="E9" s="401"/>
      <c r="F9" s="401">
        <f>+'Example 6 Assumptions Summary'!D21</f>
        <v>2549209</v>
      </c>
      <c r="G9" s="393"/>
      <c r="I9" s="418" t="s">
        <v>71</v>
      </c>
      <c r="K9" s="403">
        <f>+J8</f>
        <v>2549209</v>
      </c>
      <c r="L9" s="393"/>
      <c r="M9" s="405"/>
      <c r="N9" s="404" t="str">
        <f>+I9</f>
        <v>Lease liability</v>
      </c>
      <c r="O9" s="401"/>
      <c r="P9" s="401">
        <f>+K9</f>
        <v>2549209</v>
      </c>
      <c r="Q9" s="401"/>
    </row>
    <row r="10" spans="1:17" s="418" customFormat="1" x14ac:dyDescent="0.25">
      <c r="A10" s="420"/>
      <c r="B10" s="401"/>
      <c r="D10" s="418" t="s">
        <v>2</v>
      </c>
      <c r="E10" s="401"/>
      <c r="F10" s="401">
        <f>+'Example 6 Assumptions Summary'!I19+'Example 6 Assumptions Summary'!I26</f>
        <v>75000</v>
      </c>
      <c r="G10" s="393"/>
      <c r="H10" s="404"/>
      <c r="I10" s="404" t="str">
        <f>+C7</f>
        <v xml:space="preserve">Capital outlay - lease </v>
      </c>
      <c r="K10" s="403">
        <f>+E7</f>
        <v>2599209</v>
      </c>
      <c r="L10" s="393"/>
      <c r="N10" s="404" t="str">
        <f>+D10</f>
        <v>Cash</v>
      </c>
      <c r="O10" s="401"/>
      <c r="P10" s="401">
        <f>+F10</f>
        <v>75000</v>
      </c>
      <c r="Q10" s="401"/>
    </row>
    <row r="11" spans="1:17" s="418" customFormat="1" x14ac:dyDescent="0.25">
      <c r="A11" s="420"/>
      <c r="B11" s="401"/>
      <c r="C11" s="421" t="s">
        <v>572</v>
      </c>
      <c r="E11" s="401"/>
      <c r="F11" s="401"/>
      <c r="G11" s="393"/>
      <c r="L11" s="393"/>
      <c r="M11" s="421" t="s">
        <v>519</v>
      </c>
      <c r="N11" s="404"/>
      <c r="O11" s="401"/>
      <c r="P11" s="401"/>
      <c r="Q11" s="401"/>
    </row>
    <row r="12" spans="1:17" x14ac:dyDescent="0.25">
      <c r="A12" s="422"/>
      <c r="B12" s="395"/>
      <c r="C12" s="392"/>
      <c r="D12" s="401"/>
      <c r="E12" s="401"/>
      <c r="F12" s="401"/>
      <c r="G12" s="393"/>
      <c r="H12" s="404"/>
      <c r="I12" s="404"/>
      <c r="J12" s="401"/>
      <c r="K12" s="401"/>
      <c r="L12" s="393"/>
      <c r="M12" s="404"/>
      <c r="N12" s="404"/>
      <c r="O12" s="401"/>
      <c r="P12" s="401"/>
      <c r="Q12" s="393"/>
    </row>
    <row r="13" spans="1:17" x14ac:dyDescent="0.25">
      <c r="A13" s="422"/>
      <c r="B13" s="395"/>
      <c r="C13" s="399"/>
      <c r="D13" s="395"/>
      <c r="E13" s="395"/>
      <c r="F13" s="395"/>
      <c r="G13" s="393"/>
      <c r="H13" s="397"/>
      <c r="I13" s="397"/>
      <c r="J13" s="395"/>
      <c r="K13" s="395"/>
      <c r="L13" s="393"/>
      <c r="M13" s="397"/>
      <c r="N13" s="397"/>
      <c r="O13" s="395"/>
      <c r="P13" s="395"/>
      <c r="Q13" s="393"/>
    </row>
    <row r="14" spans="1:17" x14ac:dyDescent="0.25">
      <c r="A14" s="416" t="s">
        <v>481</v>
      </c>
      <c r="B14" s="401"/>
      <c r="C14" s="389" t="s">
        <v>2</v>
      </c>
      <c r="D14" s="401"/>
      <c r="E14" s="401">
        <f>+'Ex. 6 Calcs-City'!I8</f>
        <v>10000</v>
      </c>
      <c r="F14" s="401"/>
      <c r="G14" s="393"/>
      <c r="H14" s="405"/>
      <c r="I14" s="404" t="s">
        <v>36</v>
      </c>
      <c r="J14" s="401"/>
      <c r="K14" s="401"/>
      <c r="L14" s="393"/>
      <c r="M14" s="404" t="str">
        <f>+C14</f>
        <v>Cash</v>
      </c>
      <c r="N14" s="404"/>
      <c r="O14" s="401">
        <f>$E$14</f>
        <v>10000</v>
      </c>
      <c r="P14" s="401"/>
      <c r="Q14" s="401"/>
    </row>
    <row r="15" spans="1:17" x14ac:dyDescent="0.25">
      <c r="A15" s="423"/>
      <c r="B15" s="401"/>
      <c r="C15" s="389" t="s">
        <v>546</v>
      </c>
      <c r="D15" s="401"/>
      <c r="E15" s="401">
        <f>+'Ex. 6 Calcs-City'!D10</f>
        <v>509842</v>
      </c>
      <c r="F15" s="401"/>
      <c r="G15" s="393"/>
      <c r="H15" s="405"/>
      <c r="J15" s="401"/>
      <c r="K15" s="401"/>
      <c r="L15" s="393"/>
      <c r="M15" s="404" t="str">
        <f t="shared" ref="M15:P16" si="0">C15</f>
        <v xml:space="preserve">Lease receivable </v>
      </c>
      <c r="N15" s="404"/>
      <c r="O15" s="401">
        <f t="shared" si="0"/>
        <v>509842</v>
      </c>
      <c r="P15" s="401"/>
      <c r="Q15" s="401"/>
    </row>
    <row r="16" spans="1:17" x14ac:dyDescent="0.25">
      <c r="B16" s="401"/>
      <c r="C16" s="389"/>
      <c r="D16" s="424" t="s">
        <v>555</v>
      </c>
      <c r="E16" s="401"/>
      <c r="F16" s="401">
        <f>+'Ex. 6 Calcs-City'!I9</f>
        <v>519842</v>
      </c>
      <c r="G16" s="393"/>
      <c r="H16" s="405"/>
      <c r="I16" s="404"/>
      <c r="J16" s="401"/>
      <c r="K16" s="401"/>
      <c r="L16" s="393"/>
      <c r="M16" s="405"/>
      <c r="N16" s="404" t="str">
        <f t="shared" si="0"/>
        <v>Deferred inflow of resources  from lease</v>
      </c>
      <c r="O16" s="401"/>
      <c r="P16" s="401">
        <f t="shared" si="0"/>
        <v>519842</v>
      </c>
      <c r="Q16" s="401"/>
    </row>
    <row r="17" spans="1:17" x14ac:dyDescent="0.25">
      <c r="B17" s="401"/>
      <c r="C17" s="406" t="s">
        <v>573</v>
      </c>
      <c r="D17" s="424"/>
      <c r="E17" s="401"/>
      <c r="F17" s="401"/>
      <c r="G17" s="393"/>
      <c r="H17" s="405"/>
      <c r="I17" s="404"/>
      <c r="J17" s="401"/>
      <c r="K17" s="401"/>
      <c r="L17" s="393"/>
      <c r="M17" s="405" t="str">
        <f>C17</f>
        <v>[To record inception of sub-lease of office space to Sample EDC]</v>
      </c>
      <c r="N17" s="404"/>
      <c r="O17" s="401"/>
      <c r="P17" s="401"/>
      <c r="Q17" s="401"/>
    </row>
    <row r="18" spans="1:17" x14ac:dyDescent="0.25">
      <c r="B18" s="401"/>
      <c r="C18" s="406"/>
      <c r="D18" s="424"/>
      <c r="E18" s="401"/>
      <c r="F18" s="401"/>
      <c r="G18" s="393"/>
      <c r="H18" s="405"/>
      <c r="I18" s="404"/>
      <c r="J18" s="401"/>
      <c r="K18" s="401"/>
      <c r="L18" s="393"/>
      <c r="M18" s="405"/>
      <c r="N18" s="404"/>
      <c r="O18" s="401"/>
      <c r="P18" s="401"/>
      <c r="Q18" s="401"/>
    </row>
    <row r="19" spans="1:17" x14ac:dyDescent="0.25">
      <c r="B19" s="401"/>
      <c r="C19" s="406"/>
      <c r="D19" s="424"/>
      <c r="E19" s="401"/>
      <c r="F19" s="401"/>
      <c r="G19" s="393"/>
      <c r="H19" s="405"/>
      <c r="I19" s="404"/>
      <c r="J19" s="401"/>
      <c r="K19" s="401"/>
      <c r="L19" s="393"/>
      <c r="M19" s="405"/>
      <c r="N19" s="404"/>
      <c r="O19" s="401"/>
      <c r="P19" s="401"/>
      <c r="Q19" s="401"/>
    </row>
    <row r="20" spans="1:17" s="418" customFormat="1" x14ac:dyDescent="0.25">
      <c r="A20" s="417" t="s">
        <v>578</v>
      </c>
      <c r="B20" s="401"/>
      <c r="C20" s="418" t="s">
        <v>552</v>
      </c>
      <c r="E20" s="401">
        <f>+'Example 6 Assumptions Summary'!E35</f>
        <v>37254</v>
      </c>
      <c r="F20" s="401"/>
      <c r="G20" s="393"/>
      <c r="H20" s="404" t="s">
        <v>71</v>
      </c>
      <c r="I20" s="404"/>
      <c r="J20" s="401">
        <f>+K22</f>
        <v>37254</v>
      </c>
      <c r="K20" s="401"/>
      <c r="L20" s="393"/>
      <c r="M20" s="404" t="str">
        <f>+H20</f>
        <v>Lease liability</v>
      </c>
      <c r="N20" s="404"/>
      <c r="O20" s="401">
        <f>+J20</f>
        <v>37254</v>
      </c>
      <c r="P20" s="401"/>
      <c r="Q20" s="401"/>
    </row>
    <row r="21" spans="1:17" s="418" customFormat="1" x14ac:dyDescent="0.25">
      <c r="A21" s="425"/>
      <c r="B21" s="401"/>
      <c r="C21" s="418" t="s">
        <v>553</v>
      </c>
      <c r="E21" s="401">
        <f>+'Example 6 Assumptions Summary'!D35</f>
        <v>12746</v>
      </c>
      <c r="F21" s="401"/>
      <c r="G21" s="393"/>
      <c r="H21" s="404" t="s">
        <v>3</v>
      </c>
      <c r="I21" s="404"/>
      <c r="J21" s="401">
        <f>+K23</f>
        <v>12746</v>
      </c>
      <c r="K21" s="401"/>
      <c r="L21" s="393"/>
      <c r="M21" s="404" t="str">
        <f>+H21</f>
        <v>Interest expense</v>
      </c>
      <c r="N21" s="404"/>
      <c r="O21" s="401">
        <f>+J21</f>
        <v>12746</v>
      </c>
      <c r="P21" s="401"/>
      <c r="Q21" s="401"/>
    </row>
    <row r="22" spans="1:17" s="418" customFormat="1" x14ac:dyDescent="0.25">
      <c r="A22" s="420"/>
      <c r="B22" s="401"/>
      <c r="C22" s="421"/>
      <c r="D22" s="418" t="s">
        <v>2</v>
      </c>
      <c r="E22" s="401"/>
      <c r="F22" s="401">
        <f>+'Example 6 Assumptions Summary'!C35</f>
        <v>50000</v>
      </c>
      <c r="G22" s="393"/>
      <c r="H22" s="404"/>
      <c r="I22" s="404" t="str">
        <f>+C20</f>
        <v>Debt service - lease principal</v>
      </c>
      <c r="J22" s="401"/>
      <c r="K22" s="401">
        <f>+E20</f>
        <v>37254</v>
      </c>
      <c r="L22" s="393"/>
      <c r="M22" s="405"/>
      <c r="N22" s="404" t="str">
        <f>+D22</f>
        <v>Cash</v>
      </c>
      <c r="O22" s="401"/>
      <c r="P22" s="401">
        <f>+F22</f>
        <v>50000</v>
      </c>
      <c r="Q22" s="401"/>
    </row>
    <row r="23" spans="1:17" s="418" customFormat="1" x14ac:dyDescent="0.25">
      <c r="A23" s="426"/>
      <c r="B23" s="401"/>
      <c r="C23" s="421" t="s">
        <v>839</v>
      </c>
      <c r="E23" s="401"/>
      <c r="F23" s="401"/>
      <c r="G23" s="393"/>
      <c r="H23" s="421"/>
      <c r="I23" s="418" t="str">
        <f>+C21</f>
        <v xml:space="preserve">Debt service - lease interest </v>
      </c>
      <c r="J23" s="401"/>
      <c r="K23" s="401">
        <f>+E21</f>
        <v>12746</v>
      </c>
      <c r="L23" s="393"/>
      <c r="M23" s="405" t="str">
        <f>+C23</f>
        <v>[To record monthly lease payment]</v>
      </c>
      <c r="N23" s="404"/>
      <c r="O23" s="401"/>
      <c r="P23" s="401"/>
      <c r="Q23" s="401"/>
    </row>
    <row r="24" spans="1:17" x14ac:dyDescent="0.25">
      <c r="B24" s="401"/>
      <c r="C24" s="389"/>
      <c r="D24" s="401"/>
      <c r="E24" s="401"/>
      <c r="F24" s="401"/>
      <c r="G24" s="393"/>
      <c r="H24" s="405"/>
      <c r="I24" s="404"/>
      <c r="J24" s="401"/>
      <c r="K24" s="401"/>
      <c r="L24" s="393"/>
      <c r="M24" s="405"/>
      <c r="N24" s="404"/>
      <c r="O24" s="401"/>
      <c r="P24" s="401"/>
      <c r="Q24" s="401"/>
    </row>
    <row r="25" spans="1:17" x14ac:dyDescent="0.25">
      <c r="B25" s="401"/>
      <c r="C25" s="389"/>
      <c r="D25" s="401"/>
      <c r="E25" s="401"/>
      <c r="F25" s="401"/>
      <c r="G25" s="393"/>
      <c r="H25" s="405"/>
      <c r="I25" s="404"/>
      <c r="J25" s="401"/>
      <c r="K25" s="401"/>
      <c r="L25" s="393"/>
      <c r="M25" s="405"/>
      <c r="N25" s="404"/>
      <c r="O25" s="401"/>
      <c r="P25" s="401"/>
      <c r="Q25" s="401"/>
    </row>
    <row r="26" spans="1:17" ht="14.25" customHeight="1" x14ac:dyDescent="0.25">
      <c r="A26" s="427" t="s">
        <v>579</v>
      </c>
      <c r="B26" s="389"/>
      <c r="C26" s="389" t="s">
        <v>2</v>
      </c>
      <c r="D26" s="389"/>
      <c r="E26" s="409">
        <f>+'Ex. 6 Calcs-City'!C24</f>
        <v>10000</v>
      </c>
      <c r="F26" s="409"/>
      <c r="I26" s="404" t="s">
        <v>36</v>
      </c>
      <c r="J26" s="402"/>
      <c r="K26" s="402"/>
      <c r="M26" s="389" t="str">
        <f>+C26</f>
        <v>Cash</v>
      </c>
      <c r="O26" s="409">
        <f>+E26</f>
        <v>10000</v>
      </c>
      <c r="P26" s="402"/>
      <c r="Q26" s="393"/>
    </row>
    <row r="27" spans="1:17" ht="14.25" customHeight="1" x14ac:dyDescent="0.25">
      <c r="A27" s="422"/>
      <c r="B27" s="389"/>
      <c r="C27" s="389"/>
      <c r="D27" s="389" t="s">
        <v>48</v>
      </c>
      <c r="E27" s="409"/>
      <c r="F27" s="409">
        <f>+'Ex. 6 Calcs-City'!E24</f>
        <v>7451</v>
      </c>
      <c r="J27" s="402"/>
      <c r="K27" s="402"/>
      <c r="N27" s="389" t="str">
        <f>+D27</f>
        <v>Lease receivable</v>
      </c>
      <c r="O27" s="409"/>
      <c r="P27" s="402">
        <f>+F27</f>
        <v>7451</v>
      </c>
    </row>
    <row r="28" spans="1:17" ht="14.25" customHeight="1" x14ac:dyDescent="0.25">
      <c r="A28" s="422"/>
      <c r="B28" s="389"/>
      <c r="C28" s="389"/>
      <c r="D28" s="389" t="s">
        <v>22</v>
      </c>
      <c r="E28" s="409"/>
      <c r="F28" s="409">
        <f>+'Ex. 6 Calcs-City'!D24</f>
        <v>2549</v>
      </c>
      <c r="J28" s="402"/>
      <c r="K28" s="402"/>
      <c r="N28" s="389" t="str">
        <f>+D28</f>
        <v>Interest income</v>
      </c>
      <c r="O28" s="389"/>
      <c r="P28" s="402">
        <f>+F28-J26</f>
        <v>2549</v>
      </c>
      <c r="Q28" s="393"/>
    </row>
    <row r="29" spans="1:17" ht="14.25" customHeight="1" x14ac:dyDescent="0.25">
      <c r="A29" s="422"/>
      <c r="B29" s="389"/>
      <c r="C29" s="406" t="s">
        <v>574</v>
      </c>
      <c r="D29" s="389"/>
      <c r="E29" s="389"/>
      <c r="F29" s="389"/>
      <c r="J29" s="389"/>
      <c r="K29" s="389"/>
      <c r="M29" s="406" t="str">
        <f>$C$29</f>
        <v>[To record receipt of monthly sub-lease rental payment]</v>
      </c>
      <c r="O29" s="409"/>
      <c r="P29" s="402"/>
      <c r="Q29" s="393"/>
    </row>
    <row r="30" spans="1:17" ht="14.25" customHeight="1" x14ac:dyDescent="0.25">
      <c r="A30" s="422"/>
      <c r="B30" s="389"/>
      <c r="C30" s="406"/>
      <c r="D30" s="389"/>
      <c r="E30" s="389"/>
      <c r="F30" s="389"/>
      <c r="J30" s="389"/>
      <c r="K30" s="389"/>
      <c r="M30" s="406"/>
      <c r="O30" s="409"/>
      <c r="P30" s="402"/>
      <c r="Q30" s="393"/>
    </row>
    <row r="31" spans="1:17" ht="14.25" customHeight="1" x14ac:dyDescent="0.25">
      <c r="A31" s="422"/>
      <c r="B31" s="389"/>
      <c r="C31" s="406"/>
      <c r="D31" s="389"/>
      <c r="E31" s="389"/>
      <c r="F31" s="389"/>
      <c r="J31" s="389"/>
      <c r="K31" s="389"/>
      <c r="M31" s="406"/>
      <c r="O31" s="409"/>
      <c r="P31" s="402"/>
      <c r="Q31" s="393"/>
    </row>
    <row r="32" spans="1:17" s="418" customFormat="1" x14ac:dyDescent="0.25">
      <c r="A32" s="417" t="s">
        <v>576</v>
      </c>
      <c r="B32" s="401"/>
      <c r="C32" s="418" t="s">
        <v>552</v>
      </c>
      <c r="E32" s="401">
        <f>+'Example 6 Assumptions Summary'!E36</f>
        <v>37440</v>
      </c>
      <c r="F32" s="401"/>
      <c r="G32" s="393"/>
      <c r="H32" s="404" t="s">
        <v>71</v>
      </c>
      <c r="I32" s="404"/>
      <c r="J32" s="401">
        <f>+K34</f>
        <v>37440</v>
      </c>
      <c r="K32" s="401"/>
      <c r="L32" s="393"/>
      <c r="M32" s="404" t="str">
        <f>+H32</f>
        <v>Lease liability</v>
      </c>
      <c r="N32" s="404"/>
      <c r="O32" s="401">
        <f>+J32</f>
        <v>37440</v>
      </c>
      <c r="P32" s="401"/>
      <c r="Q32" s="401"/>
    </row>
    <row r="33" spans="1:17" s="418" customFormat="1" x14ac:dyDescent="0.25">
      <c r="A33" s="425"/>
      <c r="B33" s="401"/>
      <c r="C33" s="418" t="s">
        <v>553</v>
      </c>
      <c r="E33" s="401">
        <f>+'Example 6 Assumptions Summary'!D36</f>
        <v>12560</v>
      </c>
      <c r="F33" s="401"/>
      <c r="G33" s="393"/>
      <c r="H33" s="404" t="s">
        <v>3</v>
      </c>
      <c r="I33" s="404"/>
      <c r="J33" s="401">
        <f>+K35</f>
        <v>12560</v>
      </c>
      <c r="K33" s="401"/>
      <c r="L33" s="393"/>
      <c r="M33" s="404" t="str">
        <f>+H33</f>
        <v>Interest expense</v>
      </c>
      <c r="N33" s="404"/>
      <c r="O33" s="401">
        <f>+J33</f>
        <v>12560</v>
      </c>
      <c r="P33" s="401"/>
      <c r="Q33" s="401"/>
    </row>
    <row r="34" spans="1:17" s="418" customFormat="1" x14ac:dyDescent="0.25">
      <c r="A34" s="420"/>
      <c r="B34" s="401"/>
      <c r="C34" s="421"/>
      <c r="D34" s="418" t="s">
        <v>2</v>
      </c>
      <c r="E34" s="401"/>
      <c r="F34" s="401">
        <f>+'Example 6 Assumptions Summary'!C36</f>
        <v>50000</v>
      </c>
      <c r="G34" s="393"/>
      <c r="H34" s="404"/>
      <c r="I34" s="404" t="str">
        <f>+C32</f>
        <v>Debt service - lease principal</v>
      </c>
      <c r="J34" s="401"/>
      <c r="K34" s="401">
        <f>+E32</f>
        <v>37440</v>
      </c>
      <c r="L34" s="393"/>
      <c r="M34" s="405"/>
      <c r="N34" s="404" t="str">
        <f>+D34</f>
        <v>Cash</v>
      </c>
      <c r="O34" s="401"/>
      <c r="P34" s="401">
        <f>+F34</f>
        <v>50000</v>
      </c>
      <c r="Q34" s="401"/>
    </row>
    <row r="35" spans="1:17" s="418" customFormat="1" x14ac:dyDescent="0.25">
      <c r="A35" s="426"/>
      <c r="B35" s="401"/>
      <c r="C35" s="421" t="s">
        <v>839</v>
      </c>
      <c r="E35" s="401"/>
      <c r="F35" s="401"/>
      <c r="G35" s="393"/>
      <c r="H35" s="421"/>
      <c r="I35" s="418" t="str">
        <f>+C33</f>
        <v xml:space="preserve">Debt service - lease interest </v>
      </c>
      <c r="J35" s="401"/>
      <c r="K35" s="401">
        <f>+E33</f>
        <v>12560</v>
      </c>
      <c r="L35" s="393"/>
      <c r="M35" s="405" t="str">
        <f>+C35</f>
        <v>[To record monthly lease payment]</v>
      </c>
      <c r="N35" s="404"/>
      <c r="O35" s="401"/>
      <c r="P35" s="401"/>
      <c r="Q35" s="401"/>
    </row>
    <row r="36" spans="1:17" ht="14.25" customHeight="1" x14ac:dyDescent="0.25">
      <c r="A36" s="422"/>
      <c r="B36" s="389"/>
      <c r="C36" s="389"/>
      <c r="D36" s="389"/>
      <c r="E36" s="409"/>
      <c r="F36" s="409"/>
      <c r="J36" s="402"/>
      <c r="K36" s="402"/>
      <c r="O36" s="409"/>
      <c r="P36" s="402"/>
      <c r="Q36" s="393"/>
    </row>
    <row r="37" spans="1:17" ht="14.25" customHeight="1" x14ac:dyDescent="0.25">
      <c r="A37" s="422"/>
      <c r="B37" s="389"/>
      <c r="C37" s="389"/>
      <c r="D37" s="389"/>
      <c r="E37" s="409"/>
      <c r="F37" s="409"/>
      <c r="J37" s="402"/>
      <c r="K37" s="402"/>
      <c r="O37" s="409"/>
      <c r="P37" s="402"/>
      <c r="Q37" s="393"/>
    </row>
    <row r="38" spans="1:17" ht="14.25" customHeight="1" x14ac:dyDescent="0.25">
      <c r="A38" s="427" t="s">
        <v>577</v>
      </c>
      <c r="B38" s="389"/>
      <c r="C38" s="389" t="s">
        <v>2</v>
      </c>
      <c r="D38" s="389"/>
      <c r="E38" s="409">
        <f>+'Ex. 6 Calcs-City'!C25</f>
        <v>10000</v>
      </c>
      <c r="F38" s="409"/>
      <c r="I38" s="404" t="s">
        <v>36</v>
      </c>
      <c r="J38" s="402"/>
      <c r="K38" s="402"/>
      <c r="M38" s="389" t="str">
        <f>+C38</f>
        <v>Cash</v>
      </c>
      <c r="O38" s="409">
        <f>+E38</f>
        <v>10000</v>
      </c>
      <c r="P38" s="402"/>
      <c r="Q38" s="393"/>
    </row>
    <row r="39" spans="1:17" ht="14.25" customHeight="1" x14ac:dyDescent="0.25">
      <c r="A39" s="422"/>
      <c r="B39" s="389"/>
      <c r="C39" s="389"/>
      <c r="D39" s="389" t="s">
        <v>48</v>
      </c>
      <c r="E39" s="409"/>
      <c r="F39" s="409">
        <f>+'Ex. 6 Calcs-City'!E25</f>
        <v>7488</v>
      </c>
      <c r="J39" s="402"/>
      <c r="K39" s="402"/>
      <c r="N39" s="389" t="str">
        <f>+D39</f>
        <v>Lease receivable</v>
      </c>
      <c r="O39" s="409"/>
      <c r="P39" s="402">
        <f>+F39</f>
        <v>7488</v>
      </c>
    </row>
    <row r="40" spans="1:17" ht="14.25" customHeight="1" x14ac:dyDescent="0.25">
      <c r="A40" s="422"/>
      <c r="B40" s="389"/>
      <c r="C40" s="389"/>
      <c r="D40" s="389" t="s">
        <v>22</v>
      </c>
      <c r="E40" s="409"/>
      <c r="F40" s="409">
        <f>+'Ex. 6 Calcs-City'!D25</f>
        <v>2512</v>
      </c>
      <c r="J40" s="402"/>
      <c r="K40" s="402"/>
      <c r="N40" s="389" t="str">
        <f>+D40</f>
        <v>Interest income</v>
      </c>
      <c r="O40" s="389"/>
      <c r="P40" s="402">
        <f>+F40-J38</f>
        <v>2512</v>
      </c>
      <c r="Q40" s="393"/>
    </row>
    <row r="41" spans="1:17" ht="14.25" customHeight="1" x14ac:dyDescent="0.25">
      <c r="A41" s="422"/>
      <c r="B41" s="389"/>
      <c r="C41" s="406" t="s">
        <v>574</v>
      </c>
      <c r="D41" s="389"/>
      <c r="E41" s="389"/>
      <c r="F41" s="389"/>
      <c r="J41" s="389"/>
      <c r="K41" s="389"/>
      <c r="M41" s="406" t="str">
        <f>$C$29</f>
        <v>[To record receipt of monthly sub-lease rental payment]</v>
      </c>
      <c r="O41" s="409"/>
      <c r="P41" s="402"/>
      <c r="Q41" s="393"/>
    </row>
    <row r="42" spans="1:17" ht="14.25" customHeight="1" x14ac:dyDescent="0.25">
      <c r="A42" s="422"/>
      <c r="B42" s="389"/>
      <c r="C42" s="406"/>
      <c r="D42" s="389"/>
      <c r="E42" s="389"/>
      <c r="F42" s="389"/>
      <c r="J42" s="389"/>
      <c r="K42" s="389"/>
      <c r="M42" s="406"/>
      <c r="O42" s="409"/>
      <c r="P42" s="402"/>
      <c r="Q42" s="393"/>
    </row>
    <row r="43" spans="1:17" ht="14.25" customHeight="1" x14ac:dyDescent="0.25">
      <c r="A43" s="422"/>
      <c r="B43" s="389"/>
      <c r="C43" s="406"/>
      <c r="D43" s="389"/>
      <c r="E43" s="389"/>
      <c r="F43" s="389"/>
      <c r="J43" s="389"/>
      <c r="K43" s="389"/>
      <c r="M43" s="406"/>
      <c r="O43" s="409"/>
      <c r="P43" s="402"/>
      <c r="Q43" s="393"/>
    </row>
    <row r="44" spans="1:17" s="418" customFormat="1" x14ac:dyDescent="0.25">
      <c r="A44" s="417" t="s">
        <v>575</v>
      </c>
      <c r="B44" s="401"/>
      <c r="C44" s="418" t="s">
        <v>552</v>
      </c>
      <c r="E44" s="401">
        <f>+'Example 6 Assumptions Summary'!E37</f>
        <v>37627</v>
      </c>
      <c r="F44" s="401"/>
      <c r="G44" s="393"/>
      <c r="H44" s="404" t="s">
        <v>71</v>
      </c>
      <c r="I44" s="404"/>
      <c r="J44" s="401">
        <f>+K46</f>
        <v>37627</v>
      </c>
      <c r="K44" s="401"/>
      <c r="L44" s="393"/>
      <c r="M44" s="404" t="str">
        <f>+H44</f>
        <v>Lease liability</v>
      </c>
      <c r="N44" s="404"/>
      <c r="O44" s="401">
        <f>+J44</f>
        <v>37627</v>
      </c>
      <c r="P44" s="401"/>
      <c r="Q44" s="401"/>
    </row>
    <row r="45" spans="1:17" s="418" customFormat="1" x14ac:dyDescent="0.25">
      <c r="A45" s="425"/>
      <c r="B45" s="401"/>
      <c r="C45" s="418" t="s">
        <v>553</v>
      </c>
      <c r="E45" s="401">
        <f>+'Example 6 Assumptions Summary'!D37</f>
        <v>12373</v>
      </c>
      <c r="F45" s="401"/>
      <c r="G45" s="393"/>
      <c r="H45" s="404" t="s">
        <v>3</v>
      </c>
      <c r="I45" s="404"/>
      <c r="J45" s="401">
        <f>+K47</f>
        <v>12373</v>
      </c>
      <c r="K45" s="401"/>
      <c r="L45" s="393"/>
      <c r="M45" s="404" t="str">
        <f>+H45</f>
        <v>Interest expense</v>
      </c>
      <c r="N45" s="404"/>
      <c r="O45" s="401">
        <f>+J45</f>
        <v>12373</v>
      </c>
      <c r="P45" s="401"/>
      <c r="Q45" s="401"/>
    </row>
    <row r="46" spans="1:17" s="418" customFormat="1" x14ac:dyDescent="0.25">
      <c r="A46" s="420"/>
      <c r="B46" s="401"/>
      <c r="C46" s="421"/>
      <c r="D46" s="418" t="s">
        <v>2</v>
      </c>
      <c r="E46" s="401"/>
      <c r="F46" s="401">
        <f>+'Example 6 Assumptions Summary'!C37</f>
        <v>50000</v>
      </c>
      <c r="G46" s="393"/>
      <c r="H46" s="404"/>
      <c r="I46" s="404" t="str">
        <f>+C44</f>
        <v>Debt service - lease principal</v>
      </c>
      <c r="J46" s="401"/>
      <c r="K46" s="401">
        <f>+E44</f>
        <v>37627</v>
      </c>
      <c r="L46" s="393"/>
      <c r="M46" s="405"/>
      <c r="N46" s="404" t="str">
        <f>+D46</f>
        <v>Cash</v>
      </c>
      <c r="O46" s="401"/>
      <c r="P46" s="401">
        <f>+F46</f>
        <v>50000</v>
      </c>
      <c r="Q46" s="401"/>
    </row>
    <row r="47" spans="1:17" s="418" customFormat="1" x14ac:dyDescent="0.25">
      <c r="A47" s="426"/>
      <c r="B47" s="401"/>
      <c r="C47" s="421" t="s">
        <v>839</v>
      </c>
      <c r="E47" s="401"/>
      <c r="F47" s="401"/>
      <c r="G47" s="393"/>
      <c r="H47" s="421"/>
      <c r="I47" s="418" t="str">
        <f>+C45</f>
        <v xml:space="preserve">Debt service - lease interest </v>
      </c>
      <c r="J47" s="401"/>
      <c r="K47" s="401">
        <f>+E45</f>
        <v>12373</v>
      </c>
      <c r="L47" s="393"/>
      <c r="M47" s="405" t="str">
        <f>+C47</f>
        <v>[To record monthly lease payment]</v>
      </c>
      <c r="N47" s="404"/>
      <c r="O47" s="401"/>
      <c r="P47" s="401"/>
      <c r="Q47" s="401"/>
    </row>
    <row r="48" spans="1:17" ht="14.25" customHeight="1" x14ac:dyDescent="0.25">
      <c r="A48" s="422"/>
      <c r="B48" s="389"/>
      <c r="C48" s="389"/>
      <c r="D48" s="389"/>
      <c r="E48" s="409"/>
      <c r="F48" s="409"/>
      <c r="J48" s="402"/>
      <c r="K48" s="402"/>
      <c r="O48" s="409"/>
      <c r="P48" s="402"/>
      <c r="Q48" s="393"/>
    </row>
    <row r="49" spans="1:17" ht="14.25" customHeight="1" x14ac:dyDescent="0.25">
      <c r="A49" s="422"/>
      <c r="B49" s="389"/>
      <c r="C49" s="389"/>
      <c r="D49" s="389"/>
      <c r="E49" s="409"/>
      <c r="F49" s="409"/>
      <c r="J49" s="402"/>
      <c r="K49" s="402"/>
      <c r="O49" s="409"/>
      <c r="P49" s="402"/>
      <c r="Q49" s="393"/>
    </row>
    <row r="50" spans="1:17" ht="14.25" customHeight="1" x14ac:dyDescent="0.25">
      <c r="A50" s="427" t="s">
        <v>580</v>
      </c>
      <c r="B50" s="389"/>
      <c r="C50" s="389" t="s">
        <v>2</v>
      </c>
      <c r="D50" s="389"/>
      <c r="E50" s="409">
        <f>+'Ex. 6 Calcs-City'!C26</f>
        <v>10000</v>
      </c>
      <c r="F50" s="409"/>
      <c r="I50" s="404" t="s">
        <v>36</v>
      </c>
      <c r="J50" s="402"/>
      <c r="K50" s="402"/>
      <c r="M50" s="389" t="str">
        <f>+C50</f>
        <v>Cash</v>
      </c>
      <c r="O50" s="409">
        <f>+E50</f>
        <v>10000</v>
      </c>
      <c r="P50" s="402"/>
      <c r="Q50" s="393"/>
    </row>
    <row r="51" spans="1:17" ht="14.25" customHeight="1" x14ac:dyDescent="0.25">
      <c r="A51" s="422"/>
      <c r="B51" s="389"/>
      <c r="C51" s="389"/>
      <c r="D51" s="389" t="s">
        <v>48</v>
      </c>
      <c r="E51" s="409"/>
      <c r="F51" s="409">
        <f>+'Ex. 6 Calcs-City'!E26</f>
        <v>7525</v>
      </c>
      <c r="J51" s="402"/>
      <c r="K51" s="402"/>
      <c r="N51" s="389" t="str">
        <f>+D51</f>
        <v>Lease receivable</v>
      </c>
      <c r="O51" s="409"/>
      <c r="P51" s="402">
        <f>+F51</f>
        <v>7525</v>
      </c>
    </row>
    <row r="52" spans="1:17" ht="14.25" customHeight="1" x14ac:dyDescent="0.25">
      <c r="A52" s="422"/>
      <c r="B52" s="389"/>
      <c r="C52" s="389"/>
      <c r="D52" s="389" t="s">
        <v>22</v>
      </c>
      <c r="E52" s="409"/>
      <c r="F52" s="409">
        <f>+'Ex. 6 Calcs-City'!D26</f>
        <v>2475</v>
      </c>
      <c r="J52" s="402"/>
      <c r="K52" s="402"/>
      <c r="N52" s="389" t="str">
        <f>+D52</f>
        <v>Interest income</v>
      </c>
      <c r="O52" s="389"/>
      <c r="P52" s="402">
        <f>+F52-J50</f>
        <v>2475</v>
      </c>
      <c r="Q52" s="393"/>
    </row>
    <row r="53" spans="1:17" ht="14.25" customHeight="1" x14ac:dyDescent="0.25">
      <c r="A53" s="422"/>
      <c r="B53" s="389"/>
      <c r="C53" s="406" t="s">
        <v>574</v>
      </c>
      <c r="D53" s="389"/>
      <c r="E53" s="389"/>
      <c r="F53" s="389"/>
      <c r="J53" s="389"/>
      <c r="K53" s="389"/>
      <c r="M53" s="406" t="str">
        <f>$C$29</f>
        <v>[To record receipt of monthly sub-lease rental payment]</v>
      </c>
      <c r="O53" s="409"/>
      <c r="P53" s="402"/>
      <c r="Q53" s="393"/>
    </row>
    <row r="54" spans="1:17" ht="14.25" customHeight="1" x14ac:dyDescent="0.25">
      <c r="A54" s="422"/>
      <c r="B54" s="389"/>
      <c r="C54" s="406"/>
      <c r="D54" s="389"/>
      <c r="E54" s="389"/>
      <c r="F54" s="389"/>
      <c r="J54" s="389"/>
      <c r="K54" s="389"/>
      <c r="M54" s="406"/>
      <c r="O54" s="409"/>
      <c r="P54" s="402"/>
      <c r="Q54" s="393"/>
    </row>
    <row r="55" spans="1:17" ht="14.25" customHeight="1" x14ac:dyDescent="0.25">
      <c r="A55" s="422"/>
      <c r="B55" s="389"/>
      <c r="C55" s="406"/>
      <c r="D55" s="389"/>
      <c r="E55" s="389"/>
      <c r="F55" s="389"/>
      <c r="J55" s="389"/>
      <c r="K55" s="389"/>
      <c r="M55" s="406"/>
      <c r="O55" s="409"/>
      <c r="P55" s="402"/>
      <c r="Q55" s="393"/>
    </row>
    <row r="56" spans="1:17" s="418" customFormat="1" x14ac:dyDescent="0.25">
      <c r="A56" s="417" t="s">
        <v>581</v>
      </c>
      <c r="B56" s="401"/>
      <c r="C56" s="418" t="s">
        <v>552</v>
      </c>
      <c r="E56" s="401">
        <f>+'Example 6 Assumptions Summary'!E38</f>
        <v>37816</v>
      </c>
      <c r="F56" s="401"/>
      <c r="G56" s="393"/>
      <c r="H56" s="404" t="s">
        <v>71</v>
      </c>
      <c r="I56" s="404"/>
      <c r="J56" s="401">
        <f>+K58</f>
        <v>37816</v>
      </c>
      <c r="K56" s="401"/>
      <c r="L56" s="393"/>
      <c r="M56" s="404" t="str">
        <f>+H56</f>
        <v>Lease liability</v>
      </c>
      <c r="N56" s="404"/>
      <c r="O56" s="401">
        <f>+J56</f>
        <v>37816</v>
      </c>
      <c r="P56" s="401"/>
      <c r="Q56" s="401"/>
    </row>
    <row r="57" spans="1:17" s="418" customFormat="1" x14ac:dyDescent="0.25">
      <c r="A57" s="425"/>
      <c r="B57" s="401"/>
      <c r="C57" s="418" t="s">
        <v>553</v>
      </c>
      <c r="E57" s="401">
        <f>+'Example 6 Assumptions Summary'!D38</f>
        <v>12184</v>
      </c>
      <c r="F57" s="401"/>
      <c r="G57" s="393"/>
      <c r="H57" s="404" t="s">
        <v>3</v>
      </c>
      <c r="I57" s="404"/>
      <c r="J57" s="401">
        <f>+K59</f>
        <v>12184</v>
      </c>
      <c r="K57" s="401"/>
      <c r="L57" s="393"/>
      <c r="M57" s="404" t="str">
        <f>+H57</f>
        <v>Interest expense</v>
      </c>
      <c r="N57" s="404"/>
      <c r="O57" s="401">
        <f>+J57</f>
        <v>12184</v>
      </c>
      <c r="P57" s="401"/>
      <c r="Q57" s="401"/>
    </row>
    <row r="58" spans="1:17" s="418" customFormat="1" x14ac:dyDescent="0.25">
      <c r="A58" s="420"/>
      <c r="B58" s="401"/>
      <c r="C58" s="421"/>
      <c r="D58" s="418" t="s">
        <v>2</v>
      </c>
      <c r="E58" s="401"/>
      <c r="F58" s="401">
        <f>+'Example 6 Assumptions Summary'!C38</f>
        <v>50000</v>
      </c>
      <c r="G58" s="393"/>
      <c r="H58" s="404"/>
      <c r="I58" s="404" t="str">
        <f>+C56</f>
        <v>Debt service - lease principal</v>
      </c>
      <c r="J58" s="401"/>
      <c r="K58" s="401">
        <f>+E56</f>
        <v>37816</v>
      </c>
      <c r="L58" s="393"/>
      <c r="M58" s="405"/>
      <c r="N58" s="404" t="str">
        <f>+D58</f>
        <v>Cash</v>
      </c>
      <c r="O58" s="401"/>
      <c r="P58" s="401">
        <f>+F58</f>
        <v>50000</v>
      </c>
      <c r="Q58" s="401"/>
    </row>
    <row r="59" spans="1:17" s="418" customFormat="1" x14ac:dyDescent="0.25">
      <c r="A59" s="426"/>
      <c r="B59" s="401"/>
      <c r="C59" s="421" t="s">
        <v>839</v>
      </c>
      <c r="E59" s="401"/>
      <c r="F59" s="401"/>
      <c r="G59" s="393"/>
      <c r="H59" s="421"/>
      <c r="I59" s="418" t="str">
        <f>+C57</f>
        <v xml:space="preserve">Debt service - lease interest </v>
      </c>
      <c r="J59" s="401"/>
      <c r="K59" s="401">
        <f>+E57</f>
        <v>12184</v>
      </c>
      <c r="L59" s="393"/>
      <c r="M59" s="405" t="str">
        <f>+C59</f>
        <v>[To record monthly lease payment]</v>
      </c>
      <c r="N59" s="404"/>
      <c r="O59" s="401"/>
      <c r="P59" s="401"/>
      <c r="Q59" s="401"/>
    </row>
    <row r="60" spans="1:17" s="418" customFormat="1" x14ac:dyDescent="0.25">
      <c r="A60" s="420"/>
      <c r="B60" s="401"/>
      <c r="C60" s="421"/>
      <c r="D60" s="401"/>
      <c r="E60" s="401"/>
      <c r="F60" s="401"/>
      <c r="G60" s="393"/>
      <c r="H60" s="421"/>
      <c r="I60" s="404"/>
      <c r="J60" s="401"/>
      <c r="K60" s="401"/>
      <c r="L60" s="393"/>
      <c r="M60" s="405"/>
      <c r="N60" s="404"/>
      <c r="O60" s="404"/>
      <c r="P60" s="401"/>
      <c r="Q60" s="401"/>
    </row>
    <row r="61" spans="1:17" ht="14.25" customHeight="1" x14ac:dyDescent="0.25">
      <c r="A61" s="422"/>
      <c r="B61" s="389"/>
      <c r="C61" s="389"/>
      <c r="D61" s="389"/>
      <c r="E61" s="409"/>
      <c r="F61" s="409"/>
      <c r="J61" s="402"/>
      <c r="K61" s="402"/>
      <c r="O61" s="409"/>
      <c r="P61" s="402"/>
      <c r="Q61" s="393"/>
    </row>
    <row r="62" spans="1:17" ht="14.25" customHeight="1" x14ac:dyDescent="0.25">
      <c r="A62" s="427" t="s">
        <v>582</v>
      </c>
      <c r="B62" s="389"/>
      <c r="C62" s="389" t="s">
        <v>2</v>
      </c>
      <c r="D62" s="389"/>
      <c r="E62" s="409">
        <f>+'Ex. 6 Calcs-City'!C27</f>
        <v>10000</v>
      </c>
      <c r="F62" s="409"/>
      <c r="I62" s="404" t="s">
        <v>36</v>
      </c>
      <c r="J62" s="402"/>
      <c r="K62" s="402"/>
      <c r="M62" s="389" t="str">
        <f>+C62</f>
        <v>Cash</v>
      </c>
      <c r="O62" s="409">
        <f>+E62</f>
        <v>10000</v>
      </c>
      <c r="P62" s="402"/>
      <c r="Q62" s="393"/>
    </row>
    <row r="63" spans="1:17" ht="14.25" customHeight="1" x14ac:dyDescent="0.25">
      <c r="A63" s="422"/>
      <c r="B63" s="389"/>
      <c r="C63" s="389"/>
      <c r="D63" s="389" t="s">
        <v>48</v>
      </c>
      <c r="E63" s="409"/>
      <c r="F63" s="409">
        <f>+'Ex. 6 Calcs-City'!E27</f>
        <v>7563</v>
      </c>
      <c r="J63" s="402"/>
      <c r="K63" s="402"/>
      <c r="N63" s="389" t="str">
        <f>+D63</f>
        <v>Lease receivable</v>
      </c>
      <c r="O63" s="409"/>
      <c r="P63" s="402">
        <f>+F63</f>
        <v>7563</v>
      </c>
    </row>
    <row r="64" spans="1:17" ht="14.25" customHeight="1" x14ac:dyDescent="0.25">
      <c r="A64" s="422"/>
      <c r="B64" s="389"/>
      <c r="C64" s="389"/>
      <c r="D64" s="389" t="s">
        <v>22</v>
      </c>
      <c r="E64" s="409"/>
      <c r="F64" s="409">
        <f>+'Ex. 6 Calcs-City'!D27</f>
        <v>2437</v>
      </c>
      <c r="J64" s="402"/>
      <c r="K64" s="402"/>
      <c r="N64" s="389" t="str">
        <f>+D64</f>
        <v>Interest income</v>
      </c>
      <c r="O64" s="389"/>
      <c r="P64" s="402">
        <f>+F64-J62</f>
        <v>2437</v>
      </c>
      <c r="Q64" s="393"/>
    </row>
    <row r="65" spans="1:17" ht="14.25" customHeight="1" x14ac:dyDescent="0.25">
      <c r="A65" s="422"/>
      <c r="B65" s="389"/>
      <c r="C65" s="406" t="s">
        <v>574</v>
      </c>
      <c r="D65" s="389"/>
      <c r="E65" s="389"/>
      <c r="F65" s="389"/>
      <c r="J65" s="389"/>
      <c r="K65" s="389"/>
      <c r="M65" s="406" t="str">
        <f>$C$29</f>
        <v>[To record receipt of monthly sub-lease rental payment]</v>
      </c>
      <c r="O65" s="409"/>
      <c r="P65" s="402"/>
      <c r="Q65" s="393"/>
    </row>
    <row r="66" spans="1:17" ht="14.25" customHeight="1" x14ac:dyDescent="0.25">
      <c r="A66" s="422"/>
      <c r="B66" s="389"/>
      <c r="C66" s="406"/>
      <c r="D66" s="389"/>
      <c r="E66" s="389"/>
      <c r="F66" s="389"/>
      <c r="J66" s="389"/>
      <c r="K66" s="389"/>
      <c r="M66" s="406"/>
      <c r="O66" s="409"/>
      <c r="P66" s="402"/>
      <c r="Q66" s="393"/>
    </row>
    <row r="67" spans="1:17" ht="14.25" customHeight="1" x14ac:dyDescent="0.25">
      <c r="A67" s="422"/>
      <c r="B67" s="389"/>
      <c r="C67" s="406"/>
      <c r="D67" s="389"/>
      <c r="E67" s="389"/>
      <c r="F67" s="389"/>
      <c r="J67" s="389"/>
      <c r="K67" s="389"/>
      <c r="M67" s="406"/>
      <c r="O67" s="409"/>
      <c r="P67" s="402"/>
      <c r="Q67" s="393"/>
    </row>
    <row r="68" spans="1:17" s="418" customFormat="1" x14ac:dyDescent="0.25">
      <c r="A68" s="417" t="s">
        <v>583</v>
      </c>
      <c r="B68" s="401"/>
      <c r="C68" s="418" t="s">
        <v>552</v>
      </c>
      <c r="E68" s="401">
        <f>+'Example 6 Assumptions Summary'!E39</f>
        <v>38005</v>
      </c>
      <c r="F68" s="401"/>
      <c r="G68" s="393"/>
      <c r="H68" s="404" t="s">
        <v>71</v>
      </c>
      <c r="I68" s="404"/>
      <c r="J68" s="401">
        <f>+K70</f>
        <v>38005</v>
      </c>
      <c r="K68" s="401"/>
      <c r="L68" s="393"/>
      <c r="M68" s="404" t="str">
        <f>+H68</f>
        <v>Lease liability</v>
      </c>
      <c r="N68" s="404"/>
      <c r="O68" s="401">
        <f>+J68</f>
        <v>38005</v>
      </c>
      <c r="P68" s="401"/>
      <c r="Q68" s="401"/>
    </row>
    <row r="69" spans="1:17" s="418" customFormat="1" x14ac:dyDescent="0.25">
      <c r="A69" s="425"/>
      <c r="B69" s="401"/>
      <c r="C69" s="418" t="s">
        <v>553</v>
      </c>
      <c r="E69" s="401">
        <f>+'Example 6 Assumptions Summary'!D39</f>
        <v>11995</v>
      </c>
      <c r="F69" s="401"/>
      <c r="G69" s="393"/>
      <c r="H69" s="404" t="s">
        <v>3</v>
      </c>
      <c r="I69" s="404"/>
      <c r="J69" s="401">
        <f>+K71</f>
        <v>11995</v>
      </c>
      <c r="K69" s="401"/>
      <c r="L69" s="393"/>
      <c r="M69" s="404" t="str">
        <f>+H69</f>
        <v>Interest expense</v>
      </c>
      <c r="N69" s="404"/>
      <c r="O69" s="401">
        <f>+J69</f>
        <v>11995</v>
      </c>
      <c r="P69" s="401"/>
      <c r="Q69" s="401"/>
    </row>
    <row r="70" spans="1:17" s="418" customFormat="1" x14ac:dyDescent="0.25">
      <c r="A70" s="420"/>
      <c r="B70" s="401"/>
      <c r="C70" s="421"/>
      <c r="D70" s="418" t="s">
        <v>2</v>
      </c>
      <c r="E70" s="401"/>
      <c r="F70" s="401">
        <f>+'Example 6 Assumptions Summary'!C39</f>
        <v>50000</v>
      </c>
      <c r="G70" s="393"/>
      <c r="H70" s="404"/>
      <c r="I70" s="404" t="str">
        <f>+C68</f>
        <v>Debt service - lease principal</v>
      </c>
      <c r="J70" s="401"/>
      <c r="K70" s="401">
        <f>+E68</f>
        <v>38005</v>
      </c>
      <c r="L70" s="393"/>
      <c r="M70" s="405"/>
      <c r="N70" s="404" t="str">
        <f>+D70</f>
        <v>Cash</v>
      </c>
      <c r="O70" s="401"/>
      <c r="P70" s="401">
        <f>+F70</f>
        <v>50000</v>
      </c>
      <c r="Q70" s="401"/>
    </row>
    <row r="71" spans="1:17" s="418" customFormat="1" x14ac:dyDescent="0.25">
      <c r="A71" s="426"/>
      <c r="B71" s="401"/>
      <c r="C71" s="421" t="s">
        <v>839</v>
      </c>
      <c r="E71" s="401"/>
      <c r="F71" s="401"/>
      <c r="G71" s="393"/>
      <c r="H71" s="421"/>
      <c r="I71" s="418" t="str">
        <f>+C69</f>
        <v xml:space="preserve">Debt service - lease interest </v>
      </c>
      <c r="J71" s="401"/>
      <c r="K71" s="401">
        <f>+E69</f>
        <v>11995</v>
      </c>
      <c r="L71" s="393"/>
      <c r="M71" s="405" t="str">
        <f>+C71</f>
        <v>[To record monthly lease payment]</v>
      </c>
      <c r="N71" s="404"/>
      <c r="O71" s="401"/>
      <c r="P71" s="401"/>
      <c r="Q71" s="401"/>
    </row>
    <row r="72" spans="1:17" ht="14.25" customHeight="1" x14ac:dyDescent="0.25">
      <c r="A72" s="422"/>
      <c r="B72" s="389"/>
      <c r="C72" s="406"/>
      <c r="D72" s="389"/>
      <c r="E72" s="389"/>
      <c r="F72" s="389"/>
      <c r="J72" s="389"/>
      <c r="K72" s="389"/>
      <c r="M72" s="406"/>
      <c r="O72" s="409"/>
      <c r="P72" s="402"/>
      <c r="Q72" s="393"/>
    </row>
    <row r="73" spans="1:17" ht="14.25" customHeight="1" x14ac:dyDescent="0.25">
      <c r="A73" s="422"/>
      <c r="B73" s="389"/>
      <c r="C73" s="389"/>
      <c r="D73" s="389"/>
      <c r="E73" s="409"/>
      <c r="F73" s="409"/>
      <c r="J73" s="402"/>
      <c r="K73" s="402"/>
      <c r="O73" s="409"/>
      <c r="P73" s="402"/>
      <c r="Q73" s="393"/>
    </row>
    <row r="74" spans="1:17" ht="14.25" customHeight="1" x14ac:dyDescent="0.25">
      <c r="A74" s="427" t="s">
        <v>584</v>
      </c>
      <c r="B74" s="389"/>
      <c r="C74" s="389" t="s">
        <v>2</v>
      </c>
      <c r="D74" s="389"/>
      <c r="E74" s="409">
        <f>+'Ex. 6 Calcs-City'!C28</f>
        <v>10000</v>
      </c>
      <c r="F74" s="409"/>
      <c r="I74" s="404" t="s">
        <v>36</v>
      </c>
      <c r="J74" s="402"/>
      <c r="K74" s="402"/>
      <c r="M74" s="389" t="str">
        <f>+C74</f>
        <v>Cash</v>
      </c>
      <c r="O74" s="409">
        <f>+E74</f>
        <v>10000</v>
      </c>
      <c r="P74" s="402"/>
      <c r="Q74" s="393"/>
    </row>
    <row r="75" spans="1:17" ht="14.25" customHeight="1" x14ac:dyDescent="0.25">
      <c r="A75" s="422"/>
      <c r="B75" s="389"/>
      <c r="C75" s="389"/>
      <c r="D75" s="389" t="s">
        <v>48</v>
      </c>
      <c r="E75" s="409"/>
      <c r="F75" s="409">
        <f>+'Ex. 6 Calcs-City'!E28</f>
        <v>7601</v>
      </c>
      <c r="J75" s="402"/>
      <c r="K75" s="402"/>
      <c r="N75" s="389" t="str">
        <f>+D75</f>
        <v>Lease receivable</v>
      </c>
      <c r="O75" s="409"/>
      <c r="P75" s="402">
        <f>+F75</f>
        <v>7601</v>
      </c>
    </row>
    <row r="76" spans="1:17" ht="14.25" customHeight="1" x14ac:dyDescent="0.25">
      <c r="A76" s="422"/>
      <c r="B76" s="389"/>
      <c r="C76" s="389"/>
      <c r="D76" s="389" t="s">
        <v>22</v>
      </c>
      <c r="E76" s="409"/>
      <c r="F76" s="409">
        <f>+'Ex. 6 Calcs-City'!D28</f>
        <v>2399</v>
      </c>
      <c r="J76" s="402"/>
      <c r="K76" s="402"/>
      <c r="N76" s="389" t="str">
        <f>+D76</f>
        <v>Interest income</v>
      </c>
      <c r="O76" s="389"/>
      <c r="P76" s="402">
        <f>+F76-J74</f>
        <v>2399</v>
      </c>
      <c r="Q76" s="393"/>
    </row>
    <row r="77" spans="1:17" ht="14.25" customHeight="1" x14ac:dyDescent="0.25">
      <c r="A77" s="422"/>
      <c r="B77" s="389"/>
      <c r="C77" s="406" t="s">
        <v>574</v>
      </c>
      <c r="D77" s="389"/>
      <c r="E77" s="389"/>
      <c r="F77" s="389"/>
      <c r="J77" s="389"/>
      <c r="K77" s="389"/>
      <c r="M77" s="406" t="str">
        <f>$C$29</f>
        <v>[To record receipt of monthly sub-lease rental payment]</v>
      </c>
      <c r="O77" s="409"/>
      <c r="P77" s="402"/>
      <c r="Q77" s="393"/>
    </row>
    <row r="78" spans="1:17" ht="14.25" customHeight="1" x14ac:dyDescent="0.25">
      <c r="A78" s="422"/>
      <c r="B78" s="389"/>
      <c r="C78" s="406"/>
      <c r="D78" s="389"/>
      <c r="E78" s="389"/>
      <c r="F78" s="389"/>
      <c r="J78" s="389"/>
      <c r="K78" s="389"/>
      <c r="M78" s="406"/>
      <c r="O78" s="409"/>
      <c r="P78" s="402"/>
      <c r="Q78" s="393"/>
    </row>
    <row r="79" spans="1:17" ht="14.25" customHeight="1" x14ac:dyDescent="0.25">
      <c r="A79" s="422"/>
      <c r="B79" s="389"/>
      <c r="C79" s="406"/>
      <c r="D79" s="389"/>
      <c r="E79" s="389"/>
      <c r="F79" s="389"/>
      <c r="J79" s="389"/>
      <c r="K79" s="389"/>
      <c r="M79" s="406"/>
      <c r="O79" s="409"/>
      <c r="P79" s="402"/>
      <c r="Q79" s="393"/>
    </row>
    <row r="80" spans="1:17" s="418" customFormat="1" x14ac:dyDescent="0.25">
      <c r="A80" s="417" t="s">
        <v>103</v>
      </c>
      <c r="B80" s="401"/>
      <c r="C80" s="421"/>
      <c r="D80" s="418" t="s">
        <v>36</v>
      </c>
      <c r="E80" s="401"/>
      <c r="F80" s="401"/>
      <c r="G80" s="393"/>
      <c r="H80" s="418" t="s">
        <v>632</v>
      </c>
      <c r="I80" s="404"/>
      <c r="J80" s="401">
        <f>+K81</f>
        <v>259921</v>
      </c>
      <c r="K80" s="401"/>
      <c r="L80" s="393"/>
      <c r="M80" s="405" t="str">
        <f t="shared" ref="M80:P82" si="1">H80</f>
        <v>Amortization expense</v>
      </c>
      <c r="N80" s="404"/>
      <c r="O80" s="401">
        <f t="shared" si="1"/>
        <v>259921</v>
      </c>
      <c r="P80" s="401"/>
      <c r="Q80" s="401"/>
    </row>
    <row r="81" spans="1:17" s="418" customFormat="1" x14ac:dyDescent="0.25">
      <c r="A81" s="420"/>
      <c r="B81" s="401"/>
      <c r="C81" s="421"/>
      <c r="D81" s="401"/>
      <c r="E81" s="401"/>
      <c r="F81" s="401"/>
      <c r="G81" s="393"/>
      <c r="H81" s="421"/>
      <c r="I81" s="404" t="s">
        <v>630</v>
      </c>
      <c r="J81" s="401"/>
      <c r="K81" s="401">
        <f>+'Example 6 Assumptions Summary'!I34</f>
        <v>259921</v>
      </c>
      <c r="L81" s="393"/>
      <c r="M81" s="405"/>
      <c r="N81" s="404" t="str">
        <f t="shared" si="1"/>
        <v>Accumulated amortization - lease asset</v>
      </c>
      <c r="O81" s="401"/>
      <c r="P81" s="401">
        <f t="shared" si="1"/>
        <v>259921</v>
      </c>
      <c r="Q81" s="401"/>
    </row>
    <row r="82" spans="1:17" s="418" customFormat="1" x14ac:dyDescent="0.25">
      <c r="A82" s="420"/>
      <c r="B82" s="401"/>
      <c r="D82" s="401"/>
      <c r="E82" s="401"/>
      <c r="F82" s="401"/>
      <c r="G82" s="393"/>
      <c r="H82" s="421" t="s">
        <v>652</v>
      </c>
      <c r="J82" s="401"/>
      <c r="K82" s="401"/>
      <c r="L82" s="393"/>
      <c r="M82" s="405" t="str">
        <f t="shared" si="1"/>
        <v>[To record amortization of lease asset]</v>
      </c>
      <c r="N82" s="404"/>
      <c r="O82" s="401"/>
      <c r="P82" s="401"/>
      <c r="Q82" s="401"/>
    </row>
    <row r="83" spans="1:17" s="418" customFormat="1" x14ac:dyDescent="0.25">
      <c r="A83" s="420"/>
      <c r="B83" s="401"/>
      <c r="D83" s="401"/>
      <c r="E83" s="409"/>
      <c r="F83" s="409"/>
      <c r="G83" s="393"/>
      <c r="H83" s="405"/>
      <c r="I83" s="404"/>
      <c r="J83" s="401"/>
      <c r="K83" s="401"/>
      <c r="L83" s="393"/>
      <c r="M83" s="405"/>
      <c r="N83" s="404"/>
      <c r="O83" s="401"/>
      <c r="P83" s="401"/>
      <c r="Q83" s="401"/>
    </row>
    <row r="84" spans="1:17" ht="14.25" customHeight="1" x14ac:dyDescent="0.25">
      <c r="A84" s="422"/>
      <c r="B84" s="389"/>
      <c r="C84" s="406"/>
      <c r="D84" s="389"/>
      <c r="E84" s="389"/>
      <c r="F84" s="389"/>
      <c r="J84" s="389"/>
      <c r="K84" s="389"/>
      <c r="M84" s="406"/>
      <c r="O84" s="409"/>
      <c r="P84" s="402"/>
      <c r="Q84" s="393"/>
    </row>
    <row r="85" spans="1:17" ht="14.25" customHeight="1" x14ac:dyDescent="0.25">
      <c r="A85" s="422"/>
      <c r="B85" s="389"/>
      <c r="C85" s="406"/>
      <c r="D85" s="389"/>
      <c r="E85" s="389"/>
      <c r="F85" s="389"/>
      <c r="J85" s="389"/>
      <c r="K85" s="389"/>
      <c r="M85" s="406"/>
      <c r="O85" s="409"/>
      <c r="P85" s="402"/>
      <c r="Q85" s="393"/>
    </row>
    <row r="86" spans="1:17" ht="14.25" customHeight="1" x14ac:dyDescent="0.25">
      <c r="A86" s="427" t="s">
        <v>104</v>
      </c>
      <c r="B86" s="389"/>
      <c r="C86" s="389" t="s">
        <v>415</v>
      </c>
      <c r="D86" s="401"/>
      <c r="E86" s="401">
        <f>+'Ex. 6 Calcs-City'!I23</f>
        <v>51985</v>
      </c>
      <c r="F86" s="401"/>
      <c r="I86" s="404" t="s">
        <v>36</v>
      </c>
      <c r="L86" s="393"/>
      <c r="M86" s="405" t="str">
        <f>C86</f>
        <v>Deferred inflow of resources from lease</v>
      </c>
      <c r="N86" s="404"/>
      <c r="O86" s="401">
        <f>E86</f>
        <v>51985</v>
      </c>
      <c r="P86" s="402"/>
      <c r="Q86" s="393"/>
    </row>
    <row r="87" spans="1:17" x14ac:dyDescent="0.25">
      <c r="B87" s="401"/>
      <c r="C87" s="389"/>
      <c r="D87" s="389" t="s">
        <v>50</v>
      </c>
      <c r="E87" s="389"/>
      <c r="F87" s="402">
        <f>+E86</f>
        <v>51985</v>
      </c>
      <c r="G87" s="393"/>
      <c r="J87" s="389"/>
      <c r="K87" s="389"/>
      <c r="L87" s="393"/>
      <c r="M87" s="405"/>
      <c r="N87" s="404" t="str">
        <f>D87</f>
        <v>Lease revenue</v>
      </c>
      <c r="O87" s="401"/>
      <c r="P87" s="401">
        <f>F87</f>
        <v>51985</v>
      </c>
      <c r="Q87" s="401"/>
    </row>
    <row r="88" spans="1:17" x14ac:dyDescent="0.25">
      <c r="B88" s="401"/>
      <c r="C88" s="406" t="s">
        <v>547</v>
      </c>
      <c r="D88" s="424"/>
      <c r="E88" s="401"/>
      <c r="F88" s="401"/>
      <c r="G88" s="393"/>
      <c r="J88" s="389"/>
      <c r="K88" s="389"/>
      <c r="L88" s="393"/>
      <c r="M88" s="405" t="str">
        <f>C88</f>
        <v>[To amortize deferred inflow of resources and recognize</v>
      </c>
      <c r="N88" s="404"/>
      <c r="O88" s="401"/>
      <c r="P88" s="401"/>
      <c r="Q88" s="401"/>
    </row>
    <row r="89" spans="1:17" x14ac:dyDescent="0.25">
      <c r="B89" s="401"/>
      <c r="C89" s="406" t="s">
        <v>548</v>
      </c>
      <c r="D89" s="424"/>
      <c r="E89" s="401"/>
      <c r="F89" s="401"/>
      <c r="G89" s="393"/>
      <c r="J89" s="389"/>
      <c r="K89" s="389"/>
      <c r="L89" s="393"/>
      <c r="M89" s="405" t="str">
        <f>C89</f>
        <v>lease revenue for FYE 2021]</v>
      </c>
      <c r="N89" s="404"/>
      <c r="O89" s="401"/>
      <c r="P89" s="401"/>
      <c r="Q89" s="401"/>
    </row>
    <row r="90" spans="1:17" x14ac:dyDescent="0.25">
      <c r="B90" s="401"/>
      <c r="C90" s="406"/>
      <c r="D90" s="424"/>
      <c r="E90" s="401"/>
      <c r="F90" s="401"/>
      <c r="G90" s="393"/>
      <c r="J90" s="389"/>
      <c r="K90" s="389"/>
      <c r="L90" s="393"/>
      <c r="M90" s="405"/>
      <c r="N90" s="404"/>
      <c r="O90" s="401"/>
      <c r="P90" s="401"/>
      <c r="Q90" s="401"/>
    </row>
    <row r="91" spans="1:17" x14ac:dyDescent="0.25">
      <c r="B91" s="401"/>
      <c r="C91" s="406"/>
      <c r="D91" s="424"/>
      <c r="E91" s="401"/>
      <c r="F91" s="401"/>
      <c r="G91" s="393"/>
      <c r="J91" s="389"/>
      <c r="K91" s="389"/>
      <c r="L91" s="393"/>
      <c r="M91" s="405"/>
      <c r="N91" s="404"/>
      <c r="O91" s="401"/>
      <c r="P91" s="401"/>
      <c r="Q91" s="401"/>
    </row>
    <row r="92" spans="1:17" ht="16.5" thickBot="1" x14ac:dyDescent="0.3">
      <c r="E92" s="410">
        <f>SUM(E6:E91)-SUM(F6:F91)</f>
        <v>0</v>
      </c>
      <c r="J92" s="410">
        <f>SUM(J6:J91)-SUM(K6:K91)</f>
        <v>0</v>
      </c>
      <c r="O92" s="410">
        <f>SUM(O6:O91)-SUM(P6:P91)</f>
        <v>0</v>
      </c>
    </row>
    <row r="93" spans="1:17" s="415" customFormat="1" ht="14.65" customHeight="1" thickBot="1" x14ac:dyDescent="0.3">
      <c r="A93" s="428"/>
      <c r="B93" s="409"/>
      <c r="C93" s="412" t="s">
        <v>813</v>
      </c>
      <c r="D93" s="413"/>
      <c r="E93" s="413"/>
      <c r="F93" s="414"/>
      <c r="G93" s="393"/>
      <c r="H93" s="412" t="s">
        <v>813</v>
      </c>
      <c r="I93" s="413"/>
      <c r="J93" s="413"/>
      <c r="K93" s="414"/>
      <c r="L93" s="393"/>
      <c r="M93" s="412" t="s">
        <v>813</v>
      </c>
      <c r="N93" s="413"/>
      <c r="O93" s="413"/>
      <c r="P93" s="414"/>
      <c r="Q93" s="393"/>
    </row>
    <row r="95" spans="1:17" x14ac:dyDescent="0.25">
      <c r="H95" s="687" t="s">
        <v>723</v>
      </c>
      <c r="I95" s="389" t="s">
        <v>814</v>
      </c>
    </row>
  </sheetData>
  <mergeCells count="4">
    <mergeCell ref="C4:F4"/>
    <mergeCell ref="H4:K4"/>
    <mergeCell ref="M4:P4"/>
    <mergeCell ref="A1:P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5"/>
  <sheetViews>
    <sheetView workbookViewId="0"/>
  </sheetViews>
  <sheetFormatPr defaultColWidth="9" defaultRowHeight="15.75" x14ac:dyDescent="0.25"/>
  <cols>
    <col min="1" max="1" width="5" style="429" customWidth="1"/>
    <col min="2" max="2" width="12.85546875" style="436" customWidth="1"/>
    <col min="3" max="3" width="12.5703125" style="437" customWidth="1"/>
    <col min="4" max="4" width="10" style="437" bestFit="1" customWidth="1"/>
    <col min="5" max="5" width="12" style="437" customWidth="1"/>
    <col min="6" max="6" width="11.5703125" style="437" bestFit="1" customWidth="1"/>
    <col min="7" max="7" width="16" style="429" customWidth="1"/>
    <col min="8" max="8" width="13.140625" style="429" customWidth="1"/>
    <col min="9" max="9" width="13.42578125" style="429" customWidth="1"/>
    <col min="10" max="10" width="10.28515625" style="429" customWidth="1"/>
    <col min="11" max="11" width="11" style="429" customWidth="1"/>
    <col min="12" max="12" width="13.28515625" style="429" customWidth="1"/>
    <col min="13" max="13" width="1.7109375" style="429" customWidth="1"/>
    <col min="14" max="14" width="18" style="429" customWidth="1"/>
    <col min="15" max="15" width="13.28515625" style="429" customWidth="1"/>
    <col min="16" max="16" width="1.5703125" style="429" customWidth="1"/>
    <col min="17" max="17" width="13.42578125" style="429" bestFit="1" customWidth="1"/>
    <col min="18" max="18" width="13.85546875" style="429" customWidth="1"/>
    <col min="19" max="19" width="12.5703125" style="429" customWidth="1"/>
    <col min="20" max="20" width="3.7109375" style="429" customWidth="1"/>
    <col min="21" max="16384" width="9" style="429"/>
  </cols>
  <sheetData>
    <row r="1" spans="1:19" x14ac:dyDescent="0.25">
      <c r="A1" s="542" t="s">
        <v>726</v>
      </c>
      <c r="E1" s="390"/>
    </row>
    <row r="3" spans="1:19" ht="14.25" customHeight="1" x14ac:dyDescent="0.25">
      <c r="B3" s="629" t="s">
        <v>647</v>
      </c>
      <c r="H3" s="514" t="s">
        <v>21</v>
      </c>
      <c r="I3" s="514"/>
      <c r="J3" s="514"/>
      <c r="K3" s="514"/>
    </row>
    <row r="4" spans="1:19" x14ac:dyDescent="0.25">
      <c r="B4" s="612">
        <f>+'Example 1 Assumptions Summary '!F7</f>
        <v>120000</v>
      </c>
      <c r="C4" s="437" t="s">
        <v>57</v>
      </c>
      <c r="H4" s="486">
        <f>+B6</f>
        <v>1722404</v>
      </c>
      <c r="I4" s="429" t="s">
        <v>546</v>
      </c>
    </row>
    <row r="5" spans="1:19" ht="14.25" customHeight="1" x14ac:dyDescent="0.25">
      <c r="B5" s="613">
        <f>+'Example 1 Assumptions Summary '!F8</f>
        <v>2.5000000000000001E-2</v>
      </c>
      <c r="C5" s="437" t="s">
        <v>841</v>
      </c>
      <c r="H5" s="444">
        <f>+B4*2</f>
        <v>240000</v>
      </c>
      <c r="I5" s="429" t="s">
        <v>31</v>
      </c>
      <c r="K5" s="630"/>
      <c r="L5" s="607"/>
    </row>
    <row r="6" spans="1:19" ht="14.65" customHeight="1" thickBot="1" x14ac:dyDescent="0.3">
      <c r="B6" s="617">
        <f>ROUND(-PV(B5,18,B4),0)</f>
        <v>1722404</v>
      </c>
      <c r="C6" s="616" t="s">
        <v>634</v>
      </c>
      <c r="H6" s="617">
        <f>SUM(H4:H5)</f>
        <v>1962404</v>
      </c>
      <c r="I6" s="429" t="s">
        <v>21</v>
      </c>
      <c r="L6" s="607"/>
      <c r="M6" s="608"/>
      <c r="P6" s="441"/>
      <c r="Q6" s="441"/>
      <c r="R6" s="436"/>
    </row>
    <row r="7" spans="1:19" ht="15" customHeight="1" thickTop="1" x14ac:dyDescent="0.25">
      <c r="B7" s="449"/>
      <c r="H7" s="429" t="s">
        <v>666</v>
      </c>
      <c r="L7" s="607"/>
      <c r="M7" s="608"/>
      <c r="P7" s="436"/>
      <c r="Q7" s="473"/>
      <c r="R7" s="436"/>
    </row>
    <row r="8" spans="1:19" ht="15" customHeight="1" x14ac:dyDescent="0.25">
      <c r="B8" s="449"/>
      <c r="H8" s="551" t="s">
        <v>731</v>
      </c>
      <c r="L8" s="607"/>
      <c r="M8" s="608"/>
      <c r="P8" s="436"/>
      <c r="Q8" s="473"/>
      <c r="R8" s="436"/>
    </row>
    <row r="9" spans="1:19" ht="15" customHeight="1" x14ac:dyDescent="0.25">
      <c r="B9" s="449"/>
      <c r="L9" s="607"/>
      <c r="M9" s="608"/>
      <c r="P9" s="436"/>
      <c r="Q9" s="473"/>
      <c r="R9" s="436"/>
    </row>
    <row r="10" spans="1:19" ht="14.65" customHeight="1" x14ac:dyDescent="0.25">
      <c r="B10" s="613"/>
      <c r="G10" s="441"/>
      <c r="H10" s="441"/>
      <c r="I10" s="441"/>
      <c r="J10" s="441"/>
      <c r="K10" s="441"/>
      <c r="L10" s="607"/>
      <c r="M10" s="608"/>
      <c r="N10" s="608"/>
      <c r="P10" s="436"/>
      <c r="Q10" s="473"/>
      <c r="R10" s="436"/>
    </row>
    <row r="11" spans="1:19" s="557" customFormat="1" x14ac:dyDescent="0.25">
      <c r="B11" s="558"/>
      <c r="C11" s="450">
        <f>SUM(C16:C35)-C15</f>
        <v>0</v>
      </c>
      <c r="D11" s="450"/>
      <c r="E11" s="450"/>
      <c r="F11" s="450"/>
      <c r="O11" s="512">
        <f>SUM(O16:O45)-O14</f>
        <v>0</v>
      </c>
      <c r="P11" s="455"/>
      <c r="R11" s="512">
        <f>ROUND(SUM(R16:R35)-H6,0)</f>
        <v>0</v>
      </c>
    </row>
    <row r="12" spans="1:19" x14ac:dyDescent="0.25">
      <c r="B12" s="725" t="s">
        <v>46</v>
      </c>
      <c r="C12" s="726"/>
      <c r="D12" s="726"/>
      <c r="E12" s="726"/>
      <c r="F12" s="727"/>
      <c r="G12" s="730" t="s">
        <v>184</v>
      </c>
      <c r="H12" s="730"/>
      <c r="I12" s="730"/>
      <c r="J12" s="730"/>
      <c r="K12" s="730"/>
      <c r="L12" s="730"/>
      <c r="N12" s="725" t="s">
        <v>45</v>
      </c>
      <c r="O12" s="727"/>
      <c r="P12" s="529"/>
      <c r="Q12" s="725" t="s">
        <v>771</v>
      </c>
      <c r="R12" s="726"/>
      <c r="S12" s="727"/>
    </row>
    <row r="13" spans="1:19" s="423" customFormat="1" ht="83.65" customHeight="1" x14ac:dyDescent="0.25">
      <c r="B13" s="728" t="s">
        <v>7</v>
      </c>
      <c r="C13" s="728" t="s">
        <v>6</v>
      </c>
      <c r="D13" s="560" t="s">
        <v>8</v>
      </c>
      <c r="E13" s="728" t="s">
        <v>4</v>
      </c>
      <c r="F13" s="728" t="s">
        <v>5</v>
      </c>
      <c r="G13" s="728" t="s">
        <v>737</v>
      </c>
      <c r="H13" s="728" t="s">
        <v>738</v>
      </c>
      <c r="I13" s="729" t="s">
        <v>715</v>
      </c>
      <c r="J13" s="729" t="s">
        <v>179</v>
      </c>
      <c r="K13" s="729" t="s">
        <v>180</v>
      </c>
      <c r="L13" s="729" t="s">
        <v>668</v>
      </c>
      <c r="N13" s="561"/>
      <c r="O13" s="562" t="s">
        <v>17</v>
      </c>
      <c r="P13" s="563"/>
      <c r="Q13" s="561"/>
      <c r="R13" s="562" t="s">
        <v>76</v>
      </c>
      <c r="S13" s="562" t="s">
        <v>5</v>
      </c>
    </row>
    <row r="14" spans="1:19" s="423" customFormat="1" ht="16.899999999999999" customHeight="1" thickBot="1" x14ac:dyDescent="0.3">
      <c r="B14" s="728"/>
      <c r="C14" s="729"/>
      <c r="D14" s="564">
        <f>+B5</f>
        <v>2.5000000000000001E-2</v>
      </c>
      <c r="E14" s="728"/>
      <c r="F14" s="728"/>
      <c r="G14" s="728"/>
      <c r="H14" s="728"/>
      <c r="I14" s="731"/>
      <c r="J14" s="731"/>
      <c r="K14" s="731"/>
      <c r="L14" s="731"/>
      <c r="N14" s="561" t="s">
        <v>18</v>
      </c>
      <c r="O14" s="565">
        <f>+'Example 1 Assumptions Summary '!E11</f>
        <v>1000000</v>
      </c>
      <c r="P14" s="566"/>
      <c r="Q14" s="561" t="s">
        <v>18</v>
      </c>
      <c r="R14" s="565">
        <f>+H6-B4</f>
        <v>1842404</v>
      </c>
      <c r="S14" s="565"/>
    </row>
    <row r="15" spans="1:19" ht="16.5" thickBot="1" x14ac:dyDescent="0.3">
      <c r="B15" s="567"/>
      <c r="C15" s="568">
        <f>SUM(C16:C35)</f>
        <v>2400000</v>
      </c>
      <c r="D15" s="569"/>
      <c r="F15" s="570"/>
      <c r="G15" s="571"/>
      <c r="H15" s="571"/>
      <c r="I15" s="571"/>
      <c r="J15" s="571"/>
      <c r="K15" s="571"/>
      <c r="L15" s="571"/>
      <c r="N15" s="561" t="s">
        <v>817</v>
      </c>
      <c r="O15" s="398">
        <f>+'Example 1 Assumptions Summary '!E12</f>
        <v>30</v>
      </c>
      <c r="P15" s="422"/>
      <c r="Q15" s="561" t="s">
        <v>817</v>
      </c>
      <c r="R15" s="398">
        <v>19</v>
      </c>
      <c r="S15" s="572">
        <f>+H6</f>
        <v>1962404</v>
      </c>
    </row>
    <row r="16" spans="1:19" ht="16.5" thickBot="1" x14ac:dyDescent="0.3">
      <c r="A16" s="429">
        <v>1</v>
      </c>
      <c r="B16" s="593">
        <v>41091</v>
      </c>
      <c r="C16" s="465">
        <f>+H5</f>
        <v>240000</v>
      </c>
      <c r="D16" s="570">
        <v>0</v>
      </c>
      <c r="E16" s="620">
        <f>+C16-D16</f>
        <v>240000</v>
      </c>
      <c r="F16" s="621">
        <f>+B6</f>
        <v>1722404</v>
      </c>
      <c r="G16" s="622" t="s">
        <v>176</v>
      </c>
      <c r="H16" s="570">
        <f>+'Example 1 Assumptions Summary '!F18</f>
        <v>240000</v>
      </c>
      <c r="I16" s="623" t="s">
        <v>183</v>
      </c>
      <c r="J16" s="624">
        <f>+'Example 1 Assumptions Summary '!F25</f>
        <v>17000</v>
      </c>
      <c r="K16" s="624">
        <f>+H16+J16</f>
        <v>257000</v>
      </c>
      <c r="L16" s="624">
        <f>+J16</f>
        <v>17000</v>
      </c>
      <c r="N16" s="578" t="s">
        <v>60</v>
      </c>
      <c r="O16" s="570">
        <f t="shared" ref="O16:O45" si="0">+$O$14/$O$15</f>
        <v>33333.333333333336</v>
      </c>
      <c r="P16" s="441"/>
      <c r="Q16" s="578" t="s">
        <v>60</v>
      </c>
      <c r="R16" s="570">
        <f t="shared" ref="R16:R34" si="1">+R$14/R$15</f>
        <v>96968.631578947374</v>
      </c>
      <c r="S16" s="570">
        <f>+S15-R16</f>
        <v>1865435.3684210526</v>
      </c>
    </row>
    <row r="17" spans="1:19" x14ac:dyDescent="0.25">
      <c r="A17" s="429">
        <v>2</v>
      </c>
      <c r="B17" s="593">
        <v>41456</v>
      </c>
      <c r="C17" s="465">
        <f>+B4</f>
        <v>120000</v>
      </c>
      <c r="D17" s="465">
        <f>ROUND(+F16*$D$14,0)</f>
        <v>43060</v>
      </c>
      <c r="E17" s="465">
        <f>ROUND(+C17-D17,0)</f>
        <v>76940</v>
      </c>
      <c r="F17" s="465">
        <f t="shared" ref="F17:F33" si="2">+F16-E17</f>
        <v>1645464</v>
      </c>
      <c r="G17" s="587">
        <f>+'Example 1 Assumptions Summary '!E19</f>
        <v>0.05</v>
      </c>
      <c r="H17" s="465">
        <f>+B4*(1+G17)</f>
        <v>126000</v>
      </c>
      <c r="I17" s="465">
        <f>+H17-C17</f>
        <v>6000</v>
      </c>
      <c r="J17" s="471">
        <f>+'Example 1 Assumptions Summary '!F26</f>
        <v>17500</v>
      </c>
      <c r="K17" s="471">
        <f t="shared" ref="K17:K18" si="3">+H17+J17</f>
        <v>143500</v>
      </c>
      <c r="L17" s="471">
        <f>+I17+J17</f>
        <v>23500</v>
      </c>
      <c r="N17" s="470">
        <v>2014</v>
      </c>
      <c r="O17" s="465">
        <f t="shared" si="0"/>
        <v>33333.333333333336</v>
      </c>
      <c r="P17" s="444"/>
      <c r="Q17" s="470">
        <v>2014</v>
      </c>
      <c r="R17" s="465">
        <f t="shared" si="1"/>
        <v>96968.631578947374</v>
      </c>
      <c r="S17" s="465">
        <f>+S16-R17</f>
        <v>1768466.7368421052</v>
      </c>
    </row>
    <row r="18" spans="1:19" x14ac:dyDescent="0.25">
      <c r="A18" s="429">
        <v>3</v>
      </c>
      <c r="B18" s="593">
        <v>41821</v>
      </c>
      <c r="C18" s="465">
        <f>+C17</f>
        <v>120000</v>
      </c>
      <c r="D18" s="465">
        <f t="shared" ref="D18:D33" si="4">ROUND(+F17*$D$14,0)</f>
        <v>41137</v>
      </c>
      <c r="E18" s="465">
        <f t="shared" ref="E18:E33" si="5">ROUND(+C18-D18,0)</f>
        <v>78863</v>
      </c>
      <c r="F18" s="465">
        <f t="shared" si="2"/>
        <v>1566601</v>
      </c>
      <c r="G18" s="587">
        <f>+'Example 1 Assumptions Summary '!E20</f>
        <v>0.01</v>
      </c>
      <c r="H18" s="465">
        <f>+H17*(1+G18)</f>
        <v>127260</v>
      </c>
      <c r="I18" s="465">
        <f>+H18-C18</f>
        <v>7260</v>
      </c>
      <c r="J18" s="471">
        <f>+'Example 1 Assumptions Summary '!F27</f>
        <v>18000</v>
      </c>
      <c r="K18" s="471">
        <f t="shared" si="3"/>
        <v>145260</v>
      </c>
      <c r="L18" s="471">
        <f>+I18+J18</f>
        <v>25260</v>
      </c>
      <c r="N18" s="470">
        <v>2015</v>
      </c>
      <c r="O18" s="465">
        <f t="shared" si="0"/>
        <v>33333.333333333336</v>
      </c>
      <c r="P18" s="444"/>
      <c r="Q18" s="470">
        <v>2015</v>
      </c>
      <c r="R18" s="465">
        <f t="shared" si="1"/>
        <v>96968.631578947374</v>
      </c>
      <c r="S18" s="465">
        <f t="shared" ref="S18:S33" si="6">+S17-R18</f>
        <v>1671498.1052631577</v>
      </c>
    </row>
    <row r="19" spans="1:19" ht="14.25" customHeight="1" x14ac:dyDescent="0.25">
      <c r="A19" s="429">
        <v>4</v>
      </c>
      <c r="B19" s="593">
        <v>42186</v>
      </c>
      <c r="C19" s="465">
        <f t="shared" ref="C19:C34" si="7">+C18</f>
        <v>120000</v>
      </c>
      <c r="D19" s="465">
        <f t="shared" si="4"/>
        <v>39165</v>
      </c>
      <c r="E19" s="465">
        <f t="shared" si="5"/>
        <v>80835</v>
      </c>
      <c r="F19" s="465">
        <f t="shared" si="2"/>
        <v>1485766</v>
      </c>
      <c r="G19" s="716" t="s">
        <v>185</v>
      </c>
      <c r="H19" s="717"/>
      <c r="I19" s="717"/>
      <c r="J19" s="717"/>
      <c r="K19" s="717"/>
      <c r="L19" s="718"/>
      <c r="N19" s="470">
        <v>2016</v>
      </c>
      <c r="O19" s="465">
        <f t="shared" si="0"/>
        <v>33333.333333333336</v>
      </c>
      <c r="P19" s="444"/>
      <c r="Q19" s="470">
        <v>2016</v>
      </c>
      <c r="R19" s="465">
        <f t="shared" si="1"/>
        <v>96968.631578947374</v>
      </c>
      <c r="S19" s="465">
        <f t="shared" si="6"/>
        <v>1574529.4736842103</v>
      </c>
    </row>
    <row r="20" spans="1:19" ht="14.25" customHeight="1" x14ac:dyDescent="0.25">
      <c r="A20" s="429">
        <v>5</v>
      </c>
      <c r="B20" s="593">
        <v>42552</v>
      </c>
      <c r="C20" s="465">
        <f t="shared" si="7"/>
        <v>120000</v>
      </c>
      <c r="D20" s="465">
        <f t="shared" si="4"/>
        <v>37144</v>
      </c>
      <c r="E20" s="465">
        <f t="shared" si="5"/>
        <v>82856</v>
      </c>
      <c r="F20" s="465">
        <f t="shared" si="2"/>
        <v>1402910</v>
      </c>
      <c r="G20" s="719"/>
      <c r="H20" s="720"/>
      <c r="I20" s="720"/>
      <c r="J20" s="720"/>
      <c r="K20" s="720"/>
      <c r="L20" s="721"/>
      <c r="N20" s="470">
        <v>2017</v>
      </c>
      <c r="O20" s="465">
        <f t="shared" si="0"/>
        <v>33333.333333333336</v>
      </c>
      <c r="P20" s="444"/>
      <c r="Q20" s="470">
        <v>2017</v>
      </c>
      <c r="R20" s="465">
        <f t="shared" si="1"/>
        <v>96968.631578947374</v>
      </c>
      <c r="S20" s="465">
        <f t="shared" si="6"/>
        <v>1477560.8421052629</v>
      </c>
    </row>
    <row r="21" spans="1:19" ht="14.25" customHeight="1" x14ac:dyDescent="0.25">
      <c r="A21" s="429">
        <v>6</v>
      </c>
      <c r="B21" s="593">
        <v>42917</v>
      </c>
      <c r="C21" s="465">
        <f t="shared" si="7"/>
        <v>120000</v>
      </c>
      <c r="D21" s="465">
        <f t="shared" si="4"/>
        <v>35073</v>
      </c>
      <c r="E21" s="465">
        <f t="shared" si="5"/>
        <v>84927</v>
      </c>
      <c r="F21" s="465">
        <f t="shared" si="2"/>
        <v>1317983</v>
      </c>
      <c r="G21" s="719"/>
      <c r="H21" s="720"/>
      <c r="I21" s="720"/>
      <c r="J21" s="720"/>
      <c r="K21" s="720"/>
      <c r="L21" s="721"/>
      <c r="N21" s="470">
        <v>2018</v>
      </c>
      <c r="O21" s="465">
        <f t="shared" si="0"/>
        <v>33333.333333333336</v>
      </c>
      <c r="P21" s="444"/>
      <c r="Q21" s="470">
        <v>2018</v>
      </c>
      <c r="R21" s="465">
        <f t="shared" si="1"/>
        <v>96968.631578947374</v>
      </c>
      <c r="S21" s="465">
        <f t="shared" si="6"/>
        <v>1380592.2105263155</v>
      </c>
    </row>
    <row r="22" spans="1:19" ht="14.25" customHeight="1" x14ac:dyDescent="0.25">
      <c r="A22" s="429">
        <v>7</v>
      </c>
      <c r="B22" s="593">
        <v>43282</v>
      </c>
      <c r="C22" s="465">
        <f t="shared" si="7"/>
        <v>120000</v>
      </c>
      <c r="D22" s="465">
        <f t="shared" si="4"/>
        <v>32950</v>
      </c>
      <c r="E22" s="465">
        <f t="shared" si="5"/>
        <v>87050</v>
      </c>
      <c r="F22" s="465">
        <f t="shared" si="2"/>
        <v>1230933</v>
      </c>
      <c r="G22" s="719"/>
      <c r="H22" s="720"/>
      <c r="I22" s="720"/>
      <c r="J22" s="720"/>
      <c r="K22" s="720"/>
      <c r="L22" s="721"/>
      <c r="N22" s="470">
        <v>2019</v>
      </c>
      <c r="O22" s="465">
        <f t="shared" si="0"/>
        <v>33333.333333333336</v>
      </c>
      <c r="P22" s="444"/>
      <c r="Q22" s="470">
        <v>2019</v>
      </c>
      <c r="R22" s="465">
        <f t="shared" si="1"/>
        <v>96968.631578947374</v>
      </c>
      <c r="S22" s="465">
        <f t="shared" si="6"/>
        <v>1283623.5789473681</v>
      </c>
    </row>
    <row r="23" spans="1:19" ht="14.25" customHeight="1" x14ac:dyDescent="0.25">
      <c r="A23" s="429">
        <v>8</v>
      </c>
      <c r="B23" s="593">
        <v>43647</v>
      </c>
      <c r="C23" s="465">
        <f t="shared" si="7"/>
        <v>120000</v>
      </c>
      <c r="D23" s="465">
        <f t="shared" si="4"/>
        <v>30773</v>
      </c>
      <c r="E23" s="465">
        <f t="shared" si="5"/>
        <v>89227</v>
      </c>
      <c r="F23" s="465">
        <f t="shared" si="2"/>
        <v>1141706</v>
      </c>
      <c r="G23" s="719"/>
      <c r="H23" s="720"/>
      <c r="I23" s="720"/>
      <c r="J23" s="720"/>
      <c r="K23" s="720"/>
      <c r="L23" s="721"/>
      <c r="N23" s="470">
        <v>2020</v>
      </c>
      <c r="O23" s="465">
        <f t="shared" si="0"/>
        <v>33333.333333333336</v>
      </c>
      <c r="P23" s="444"/>
      <c r="Q23" s="470">
        <v>2020</v>
      </c>
      <c r="R23" s="465">
        <f t="shared" si="1"/>
        <v>96968.631578947374</v>
      </c>
      <c r="S23" s="465">
        <f t="shared" si="6"/>
        <v>1186654.9473684207</v>
      </c>
    </row>
    <row r="24" spans="1:19" ht="14.25" customHeight="1" x14ac:dyDescent="0.25">
      <c r="A24" s="429">
        <v>9</v>
      </c>
      <c r="B24" s="593">
        <v>44013</v>
      </c>
      <c r="C24" s="465">
        <f t="shared" si="7"/>
        <v>120000</v>
      </c>
      <c r="D24" s="465">
        <f t="shared" si="4"/>
        <v>28543</v>
      </c>
      <c r="E24" s="465">
        <f t="shared" si="5"/>
        <v>91457</v>
      </c>
      <c r="F24" s="465">
        <f t="shared" si="2"/>
        <v>1050249</v>
      </c>
      <c r="G24" s="719"/>
      <c r="H24" s="720"/>
      <c r="I24" s="720"/>
      <c r="J24" s="720"/>
      <c r="K24" s="720"/>
      <c r="L24" s="721"/>
      <c r="N24" s="470">
        <v>2021</v>
      </c>
      <c r="O24" s="465">
        <f t="shared" si="0"/>
        <v>33333.333333333336</v>
      </c>
      <c r="P24" s="444"/>
      <c r="Q24" s="470">
        <v>2021</v>
      </c>
      <c r="R24" s="465">
        <f t="shared" si="1"/>
        <v>96968.631578947374</v>
      </c>
      <c r="S24" s="465">
        <f t="shared" si="6"/>
        <v>1089686.3157894732</v>
      </c>
    </row>
    <row r="25" spans="1:19" ht="14.25" customHeight="1" x14ac:dyDescent="0.25">
      <c r="A25" s="429">
        <v>10</v>
      </c>
      <c r="B25" s="593">
        <v>44378</v>
      </c>
      <c r="C25" s="465">
        <f t="shared" si="7"/>
        <v>120000</v>
      </c>
      <c r="D25" s="465">
        <f t="shared" si="4"/>
        <v>26256</v>
      </c>
      <c r="E25" s="465">
        <f t="shared" si="5"/>
        <v>93744</v>
      </c>
      <c r="F25" s="465">
        <f t="shared" si="2"/>
        <v>956505</v>
      </c>
      <c r="G25" s="719"/>
      <c r="H25" s="720"/>
      <c r="I25" s="720"/>
      <c r="J25" s="720"/>
      <c r="K25" s="720"/>
      <c r="L25" s="721"/>
      <c r="N25" s="470">
        <v>2022</v>
      </c>
      <c r="O25" s="465">
        <f t="shared" si="0"/>
        <v>33333.333333333336</v>
      </c>
      <c r="P25" s="444"/>
      <c r="Q25" s="470">
        <v>2022</v>
      </c>
      <c r="R25" s="465">
        <f t="shared" si="1"/>
        <v>96968.631578947374</v>
      </c>
      <c r="S25" s="465">
        <f t="shared" si="6"/>
        <v>992717.68421052583</v>
      </c>
    </row>
    <row r="26" spans="1:19" ht="14.25" customHeight="1" x14ac:dyDescent="0.25">
      <c r="A26" s="429">
        <v>11</v>
      </c>
      <c r="B26" s="593">
        <v>44743</v>
      </c>
      <c r="C26" s="465">
        <f t="shared" si="7"/>
        <v>120000</v>
      </c>
      <c r="D26" s="465">
        <f t="shared" si="4"/>
        <v>23913</v>
      </c>
      <c r="E26" s="465">
        <f t="shared" si="5"/>
        <v>96087</v>
      </c>
      <c r="F26" s="465">
        <f t="shared" si="2"/>
        <v>860418</v>
      </c>
      <c r="G26" s="719"/>
      <c r="H26" s="720"/>
      <c r="I26" s="720"/>
      <c r="J26" s="720"/>
      <c r="K26" s="720"/>
      <c r="L26" s="721"/>
      <c r="N26" s="470">
        <v>2023</v>
      </c>
      <c r="O26" s="465">
        <f t="shared" si="0"/>
        <v>33333.333333333336</v>
      </c>
      <c r="P26" s="444"/>
      <c r="Q26" s="470">
        <v>2023</v>
      </c>
      <c r="R26" s="465">
        <f t="shared" si="1"/>
        <v>96968.631578947374</v>
      </c>
      <c r="S26" s="465">
        <f t="shared" si="6"/>
        <v>895749.05263157841</v>
      </c>
    </row>
    <row r="27" spans="1:19" ht="14.25" customHeight="1" x14ac:dyDescent="0.25">
      <c r="A27" s="429">
        <v>12</v>
      </c>
      <c r="B27" s="593">
        <v>45108</v>
      </c>
      <c r="C27" s="465">
        <f t="shared" si="7"/>
        <v>120000</v>
      </c>
      <c r="D27" s="465">
        <f t="shared" si="4"/>
        <v>21510</v>
      </c>
      <c r="E27" s="465">
        <f t="shared" si="5"/>
        <v>98490</v>
      </c>
      <c r="F27" s="465">
        <f t="shared" si="2"/>
        <v>761928</v>
      </c>
      <c r="G27" s="719"/>
      <c r="H27" s="720"/>
      <c r="I27" s="720"/>
      <c r="J27" s="720"/>
      <c r="K27" s="720"/>
      <c r="L27" s="721"/>
      <c r="N27" s="470">
        <v>2024</v>
      </c>
      <c r="O27" s="465">
        <f t="shared" si="0"/>
        <v>33333.333333333336</v>
      </c>
      <c r="P27" s="444"/>
      <c r="Q27" s="470">
        <v>2024</v>
      </c>
      <c r="R27" s="465">
        <f t="shared" si="1"/>
        <v>96968.631578947374</v>
      </c>
      <c r="S27" s="465">
        <f t="shared" si="6"/>
        <v>798780.42105263099</v>
      </c>
    </row>
    <row r="28" spans="1:19" ht="14.25" customHeight="1" x14ac:dyDescent="0.25">
      <c r="A28" s="429">
        <v>13</v>
      </c>
      <c r="B28" s="593">
        <v>45474</v>
      </c>
      <c r="C28" s="465">
        <f t="shared" si="7"/>
        <v>120000</v>
      </c>
      <c r="D28" s="465">
        <f t="shared" si="4"/>
        <v>19048</v>
      </c>
      <c r="E28" s="465">
        <f t="shared" si="5"/>
        <v>100952</v>
      </c>
      <c r="F28" s="465">
        <f t="shared" si="2"/>
        <v>660976</v>
      </c>
      <c r="G28" s="719"/>
      <c r="H28" s="720"/>
      <c r="I28" s="720"/>
      <c r="J28" s="720"/>
      <c r="K28" s="720"/>
      <c r="L28" s="721"/>
      <c r="N28" s="470">
        <v>2025</v>
      </c>
      <c r="O28" s="465">
        <f t="shared" si="0"/>
        <v>33333.333333333336</v>
      </c>
      <c r="P28" s="444"/>
      <c r="Q28" s="470">
        <v>2025</v>
      </c>
      <c r="R28" s="465">
        <f t="shared" si="1"/>
        <v>96968.631578947374</v>
      </c>
      <c r="S28" s="465">
        <f t="shared" si="6"/>
        <v>701811.78947368357</v>
      </c>
    </row>
    <row r="29" spans="1:19" ht="14.25" customHeight="1" x14ac:dyDescent="0.25">
      <c r="A29" s="429">
        <v>14</v>
      </c>
      <c r="B29" s="593">
        <v>45839</v>
      </c>
      <c r="C29" s="465">
        <f t="shared" si="7"/>
        <v>120000</v>
      </c>
      <c r="D29" s="465">
        <f t="shared" si="4"/>
        <v>16524</v>
      </c>
      <c r="E29" s="465">
        <f t="shared" si="5"/>
        <v>103476</v>
      </c>
      <c r="F29" s="465">
        <f t="shared" si="2"/>
        <v>557500</v>
      </c>
      <c r="G29" s="719"/>
      <c r="H29" s="720"/>
      <c r="I29" s="720"/>
      <c r="J29" s="720"/>
      <c r="K29" s="720"/>
      <c r="L29" s="721"/>
      <c r="N29" s="470">
        <v>2026</v>
      </c>
      <c r="O29" s="465">
        <f t="shared" si="0"/>
        <v>33333.333333333336</v>
      </c>
      <c r="P29" s="444"/>
      <c r="Q29" s="470">
        <v>2026</v>
      </c>
      <c r="R29" s="465">
        <f t="shared" si="1"/>
        <v>96968.631578947374</v>
      </c>
      <c r="S29" s="465">
        <f t="shared" si="6"/>
        <v>604843.15789473616</v>
      </c>
    </row>
    <row r="30" spans="1:19" ht="14.25" customHeight="1" x14ac:dyDescent="0.25">
      <c r="A30" s="429">
        <v>15</v>
      </c>
      <c r="B30" s="593">
        <v>46204</v>
      </c>
      <c r="C30" s="465">
        <f t="shared" si="7"/>
        <v>120000</v>
      </c>
      <c r="D30" s="465">
        <f t="shared" si="4"/>
        <v>13938</v>
      </c>
      <c r="E30" s="465">
        <f t="shared" si="5"/>
        <v>106062</v>
      </c>
      <c r="F30" s="465">
        <f t="shared" si="2"/>
        <v>451438</v>
      </c>
      <c r="G30" s="719"/>
      <c r="H30" s="720"/>
      <c r="I30" s="720"/>
      <c r="J30" s="720"/>
      <c r="K30" s="720"/>
      <c r="L30" s="721"/>
      <c r="N30" s="470">
        <v>2027</v>
      </c>
      <c r="O30" s="465">
        <f t="shared" si="0"/>
        <v>33333.333333333336</v>
      </c>
      <c r="P30" s="444"/>
      <c r="Q30" s="470">
        <v>2027</v>
      </c>
      <c r="R30" s="465">
        <f t="shared" si="1"/>
        <v>96968.631578947374</v>
      </c>
      <c r="S30" s="465">
        <f t="shared" si="6"/>
        <v>507874.5263157888</v>
      </c>
    </row>
    <row r="31" spans="1:19" ht="14.25" customHeight="1" x14ac:dyDescent="0.25">
      <c r="A31" s="429">
        <v>16</v>
      </c>
      <c r="B31" s="593">
        <v>46569</v>
      </c>
      <c r="C31" s="465">
        <f t="shared" si="7"/>
        <v>120000</v>
      </c>
      <c r="D31" s="465">
        <f t="shared" si="4"/>
        <v>11286</v>
      </c>
      <c r="E31" s="465">
        <f t="shared" si="5"/>
        <v>108714</v>
      </c>
      <c r="F31" s="465">
        <f t="shared" si="2"/>
        <v>342724</v>
      </c>
      <c r="G31" s="719"/>
      <c r="H31" s="720"/>
      <c r="I31" s="720"/>
      <c r="J31" s="720"/>
      <c r="K31" s="720"/>
      <c r="L31" s="721"/>
      <c r="N31" s="470">
        <v>2028</v>
      </c>
      <c r="O31" s="465">
        <f t="shared" si="0"/>
        <v>33333.333333333336</v>
      </c>
      <c r="P31" s="444"/>
      <c r="Q31" s="470">
        <v>2028</v>
      </c>
      <c r="R31" s="465">
        <f t="shared" si="1"/>
        <v>96968.631578947374</v>
      </c>
      <c r="S31" s="465">
        <f t="shared" si="6"/>
        <v>410905.89473684144</v>
      </c>
    </row>
    <row r="32" spans="1:19" ht="14.25" customHeight="1" x14ac:dyDescent="0.25">
      <c r="A32" s="429">
        <v>17</v>
      </c>
      <c r="B32" s="593">
        <v>46935</v>
      </c>
      <c r="C32" s="465">
        <f t="shared" si="7"/>
        <v>120000</v>
      </c>
      <c r="D32" s="465">
        <f t="shared" si="4"/>
        <v>8568</v>
      </c>
      <c r="E32" s="465">
        <f t="shared" si="5"/>
        <v>111432</v>
      </c>
      <c r="F32" s="465">
        <f t="shared" si="2"/>
        <v>231292</v>
      </c>
      <c r="G32" s="719"/>
      <c r="H32" s="720"/>
      <c r="I32" s="720"/>
      <c r="J32" s="720"/>
      <c r="K32" s="720"/>
      <c r="L32" s="721"/>
      <c r="N32" s="470">
        <v>2029</v>
      </c>
      <c r="O32" s="465">
        <f t="shared" si="0"/>
        <v>33333.333333333336</v>
      </c>
      <c r="P32" s="444"/>
      <c r="Q32" s="470">
        <v>2029</v>
      </c>
      <c r="R32" s="465">
        <f t="shared" si="1"/>
        <v>96968.631578947374</v>
      </c>
      <c r="S32" s="465">
        <f t="shared" si="6"/>
        <v>313937.26315789408</v>
      </c>
    </row>
    <row r="33" spans="1:19" ht="14.25" customHeight="1" x14ac:dyDescent="0.25">
      <c r="A33" s="429">
        <v>18</v>
      </c>
      <c r="B33" s="593">
        <v>47300</v>
      </c>
      <c r="C33" s="465">
        <f t="shared" si="7"/>
        <v>120000</v>
      </c>
      <c r="D33" s="465">
        <f t="shared" si="4"/>
        <v>5782</v>
      </c>
      <c r="E33" s="465">
        <f t="shared" si="5"/>
        <v>114218</v>
      </c>
      <c r="F33" s="465">
        <f t="shared" si="2"/>
        <v>117074</v>
      </c>
      <c r="G33" s="719"/>
      <c r="H33" s="720"/>
      <c r="I33" s="720"/>
      <c r="J33" s="720"/>
      <c r="K33" s="720"/>
      <c r="L33" s="721"/>
      <c r="N33" s="470">
        <v>2030</v>
      </c>
      <c r="O33" s="465">
        <f t="shared" si="0"/>
        <v>33333.333333333336</v>
      </c>
      <c r="P33" s="444"/>
      <c r="Q33" s="470">
        <v>2030</v>
      </c>
      <c r="R33" s="465">
        <f t="shared" si="1"/>
        <v>96968.631578947374</v>
      </c>
      <c r="S33" s="465">
        <f t="shared" si="6"/>
        <v>216968.63157894672</v>
      </c>
    </row>
    <row r="34" spans="1:19" ht="14.25" customHeight="1" thickBot="1" x14ac:dyDescent="0.3">
      <c r="A34" s="429">
        <v>19</v>
      </c>
      <c r="B34" s="593">
        <v>47665</v>
      </c>
      <c r="C34" s="465">
        <f t="shared" si="7"/>
        <v>120000</v>
      </c>
      <c r="D34" s="465">
        <f>ROUND(+F33*$D$14,0)-1</f>
        <v>2926</v>
      </c>
      <c r="E34" s="465">
        <f t="shared" ref="E34:E35" si="8">ROUND(+C34-D34,0)</f>
        <v>117074</v>
      </c>
      <c r="F34" s="465">
        <f t="shared" ref="F34" si="9">+F33-E34</f>
        <v>0</v>
      </c>
      <c r="G34" s="722"/>
      <c r="H34" s="723"/>
      <c r="I34" s="723"/>
      <c r="J34" s="723"/>
      <c r="K34" s="723"/>
      <c r="L34" s="724"/>
      <c r="N34" s="470">
        <v>2031</v>
      </c>
      <c r="O34" s="465">
        <f t="shared" si="0"/>
        <v>33333.333333333336</v>
      </c>
      <c r="P34" s="444"/>
      <c r="Q34" s="470">
        <v>2031</v>
      </c>
      <c r="R34" s="465">
        <f t="shared" si="1"/>
        <v>96968.631578947374</v>
      </c>
      <c r="S34" s="465">
        <f>ROUND(+S33-R34,0)</f>
        <v>120000</v>
      </c>
    </row>
    <row r="35" spans="1:19" ht="14.25" customHeight="1" thickBot="1" x14ac:dyDescent="0.3">
      <c r="A35" s="436">
        <v>20</v>
      </c>
      <c r="B35" s="625">
        <v>48030</v>
      </c>
      <c r="C35" s="541">
        <v>0</v>
      </c>
      <c r="D35" s="541">
        <f t="shared" ref="D35" si="10">ROUND(+F34*$D$14,0)</f>
        <v>0</v>
      </c>
      <c r="E35" s="541">
        <f t="shared" si="8"/>
        <v>0</v>
      </c>
      <c r="F35" s="541">
        <v>0</v>
      </c>
      <c r="G35" s="626"/>
      <c r="H35" s="627">
        <f>+'Example 1 Assumptions Summary '!F22</f>
        <v>180000</v>
      </c>
      <c r="I35" s="627">
        <f>+H35-C35</f>
        <v>180000</v>
      </c>
      <c r="J35" s="628">
        <f>+'Example 1 Assumptions Summary '!F28</f>
        <v>25000</v>
      </c>
      <c r="K35" s="628">
        <f t="shared" ref="K35" si="11">+H35+J35</f>
        <v>205000</v>
      </c>
      <c r="L35" s="628">
        <f>+I35+J35</f>
        <v>205000</v>
      </c>
      <c r="N35" s="470">
        <v>2032</v>
      </c>
      <c r="O35" s="465">
        <f t="shared" si="0"/>
        <v>33333.333333333336</v>
      </c>
      <c r="P35" s="444"/>
      <c r="Q35" s="631" t="s">
        <v>665</v>
      </c>
      <c r="R35" s="632">
        <f>+B4</f>
        <v>120000</v>
      </c>
      <c r="S35" s="633">
        <f>ROUND(+S34-R35,0)</f>
        <v>0</v>
      </c>
    </row>
    <row r="36" spans="1:19" x14ac:dyDescent="0.25">
      <c r="A36" s="429">
        <v>21</v>
      </c>
      <c r="B36" s="600"/>
      <c r="C36" s="444"/>
      <c r="D36" s="444"/>
      <c r="E36" s="444"/>
      <c r="F36" s="444"/>
      <c r="G36" s="436"/>
      <c r="N36" s="470">
        <v>2033</v>
      </c>
      <c r="O36" s="465">
        <f t="shared" si="0"/>
        <v>33333.333333333336</v>
      </c>
      <c r="P36" s="444"/>
    </row>
    <row r="37" spans="1:19" x14ac:dyDescent="0.25">
      <c r="A37" s="429">
        <v>22</v>
      </c>
      <c r="B37" s="600"/>
      <c r="C37" s="444"/>
      <c r="D37" s="444"/>
      <c r="E37" s="444"/>
      <c r="F37" s="444"/>
      <c r="G37" s="436"/>
      <c r="N37" s="470">
        <v>2034</v>
      </c>
      <c r="O37" s="465">
        <f t="shared" si="0"/>
        <v>33333.333333333336</v>
      </c>
      <c r="P37" s="444"/>
    </row>
    <row r="38" spans="1:19" x14ac:dyDescent="0.25">
      <c r="A38" s="429">
        <v>23</v>
      </c>
      <c r="B38" s="600"/>
      <c r="C38" s="444"/>
      <c r="D38" s="444"/>
      <c r="E38" s="444"/>
      <c r="F38" s="444"/>
      <c r="G38" s="436"/>
      <c r="N38" s="470">
        <v>2035</v>
      </c>
      <c r="O38" s="465">
        <f t="shared" si="0"/>
        <v>33333.333333333336</v>
      </c>
      <c r="P38" s="444"/>
    </row>
    <row r="39" spans="1:19" x14ac:dyDescent="0.25">
      <c r="A39" s="429">
        <v>24</v>
      </c>
      <c r="B39" s="600"/>
      <c r="C39" s="444"/>
      <c r="D39" s="444"/>
      <c r="E39" s="444"/>
      <c r="F39" s="444"/>
      <c r="G39" s="436"/>
      <c r="N39" s="470">
        <v>2036</v>
      </c>
      <c r="O39" s="465">
        <f t="shared" si="0"/>
        <v>33333.333333333336</v>
      </c>
      <c r="P39" s="444"/>
    </row>
    <row r="40" spans="1:19" x14ac:dyDescent="0.25">
      <c r="A40" s="429">
        <v>25</v>
      </c>
      <c r="B40" s="600"/>
      <c r="C40" s="444"/>
      <c r="D40" s="444"/>
      <c r="E40" s="444"/>
      <c r="F40" s="444"/>
      <c r="G40" s="436"/>
      <c r="N40" s="470">
        <v>2037</v>
      </c>
      <c r="O40" s="465">
        <f t="shared" si="0"/>
        <v>33333.333333333336</v>
      </c>
      <c r="P40" s="444"/>
    </row>
    <row r="41" spans="1:19" x14ac:dyDescent="0.25">
      <c r="A41" s="429">
        <v>26</v>
      </c>
      <c r="B41" s="600"/>
      <c r="C41" s="444"/>
      <c r="D41" s="444"/>
      <c r="E41" s="444"/>
      <c r="F41" s="444"/>
      <c r="G41" s="436"/>
      <c r="N41" s="470">
        <v>2038</v>
      </c>
      <c r="O41" s="465">
        <f t="shared" si="0"/>
        <v>33333.333333333336</v>
      </c>
      <c r="P41" s="444"/>
    </row>
    <row r="42" spans="1:19" x14ac:dyDescent="0.25">
      <c r="A42" s="429">
        <v>27</v>
      </c>
      <c r="B42" s="600"/>
      <c r="C42" s="444"/>
      <c r="D42" s="444"/>
      <c r="E42" s="444"/>
      <c r="F42" s="444"/>
      <c r="G42" s="436"/>
      <c r="N42" s="470">
        <v>2039</v>
      </c>
      <c r="O42" s="465">
        <f t="shared" si="0"/>
        <v>33333.333333333336</v>
      </c>
      <c r="P42" s="444"/>
    </row>
    <row r="43" spans="1:19" x14ac:dyDescent="0.25">
      <c r="A43" s="429">
        <v>28</v>
      </c>
      <c r="B43" s="600"/>
      <c r="C43" s="444"/>
      <c r="D43" s="444"/>
      <c r="E43" s="444"/>
      <c r="F43" s="444"/>
      <c r="G43" s="436"/>
      <c r="N43" s="470">
        <v>2040</v>
      </c>
      <c r="O43" s="465">
        <f t="shared" si="0"/>
        <v>33333.333333333336</v>
      </c>
      <c r="P43" s="444"/>
    </row>
    <row r="44" spans="1:19" x14ac:dyDescent="0.25">
      <c r="A44" s="429">
        <v>29</v>
      </c>
      <c r="B44" s="600"/>
      <c r="C44" s="444"/>
      <c r="D44" s="444"/>
      <c r="E44" s="444"/>
      <c r="F44" s="444"/>
      <c r="G44" s="436"/>
      <c r="N44" s="470">
        <v>2041</v>
      </c>
      <c r="O44" s="465">
        <f t="shared" si="0"/>
        <v>33333.333333333336</v>
      </c>
      <c r="P44" s="444"/>
    </row>
    <row r="45" spans="1:19" x14ac:dyDescent="0.25">
      <c r="A45" s="429">
        <v>30</v>
      </c>
      <c r="B45" s="600"/>
      <c r="C45" s="444"/>
      <c r="D45" s="444"/>
      <c r="E45" s="444"/>
      <c r="F45" s="444"/>
      <c r="G45" s="436"/>
      <c r="N45" s="480">
        <v>2042</v>
      </c>
      <c r="O45" s="541">
        <f t="shared" si="0"/>
        <v>33333.333333333336</v>
      </c>
      <c r="P45" s="444"/>
    </row>
    <row r="46" spans="1:19" x14ac:dyDescent="0.25">
      <c r="B46" s="600"/>
      <c r="C46" s="444"/>
      <c r="D46" s="444"/>
      <c r="E46" s="444"/>
      <c r="F46" s="444"/>
      <c r="G46" s="436"/>
      <c r="N46" s="599"/>
      <c r="O46" s="444"/>
      <c r="P46" s="444"/>
    </row>
    <row r="47" spans="1:19" x14ac:dyDescent="0.25">
      <c r="B47" s="600"/>
      <c r="C47" s="444"/>
      <c r="D47" s="444"/>
      <c r="E47" s="444"/>
      <c r="F47" s="444"/>
      <c r="G47" s="436"/>
      <c r="H47" s="599"/>
      <c r="I47" s="444"/>
      <c r="J47" s="444"/>
    </row>
    <row r="48" spans="1:19" x14ac:dyDescent="0.25">
      <c r="B48" s="600"/>
      <c r="C48" s="444"/>
      <c r="D48" s="444"/>
      <c r="E48" s="444"/>
      <c r="F48" s="444"/>
      <c r="G48" s="436"/>
      <c r="H48" s="599"/>
      <c r="I48" s="444"/>
      <c r="J48" s="444"/>
    </row>
    <row r="49" spans="2:10" x14ac:dyDescent="0.25">
      <c r="B49" s="600"/>
      <c r="C49" s="444"/>
      <c r="D49" s="444"/>
      <c r="E49" s="444"/>
      <c r="F49" s="444"/>
      <c r="G49" s="436"/>
      <c r="H49" s="599"/>
      <c r="I49" s="441"/>
      <c r="J49" s="444"/>
    </row>
    <row r="50" spans="2:10" x14ac:dyDescent="0.25">
      <c r="B50" s="600"/>
      <c r="C50" s="444"/>
      <c r="D50" s="444"/>
      <c r="E50" s="444"/>
      <c r="F50" s="444"/>
      <c r="G50" s="436"/>
      <c r="H50" s="599"/>
      <c r="I50" s="441"/>
      <c r="J50" s="441"/>
    </row>
    <row r="51" spans="2:10" x14ac:dyDescent="0.25">
      <c r="B51" s="600"/>
      <c r="C51" s="444"/>
      <c r="D51" s="444"/>
      <c r="E51" s="444"/>
      <c r="F51" s="444"/>
      <c r="G51" s="436"/>
      <c r="H51" s="599"/>
      <c r="I51" s="441"/>
      <c r="J51" s="441"/>
    </row>
    <row r="52" spans="2:10" x14ac:dyDescent="0.25">
      <c r="B52" s="600"/>
      <c r="C52" s="444"/>
      <c r="D52" s="444"/>
      <c r="E52" s="444"/>
      <c r="F52" s="444"/>
      <c r="G52" s="436"/>
      <c r="H52" s="436"/>
      <c r="I52" s="441"/>
      <c r="J52" s="441"/>
    </row>
    <row r="53" spans="2:10" x14ac:dyDescent="0.25">
      <c r="B53" s="600"/>
      <c r="C53" s="444"/>
      <c r="D53" s="444"/>
      <c r="E53" s="444"/>
      <c r="F53" s="444"/>
      <c r="G53" s="436"/>
      <c r="J53" s="444"/>
    </row>
    <row r="54" spans="2:10" x14ac:dyDescent="0.25">
      <c r="B54" s="600"/>
      <c r="C54" s="444"/>
      <c r="D54" s="444"/>
      <c r="E54" s="444"/>
      <c r="F54" s="444"/>
      <c r="G54" s="436"/>
      <c r="J54" s="444"/>
    </row>
    <row r="55" spans="2:10" x14ac:dyDescent="0.25">
      <c r="B55" s="600"/>
      <c r="C55" s="444"/>
      <c r="D55" s="444"/>
      <c r="E55" s="444"/>
      <c r="F55" s="444"/>
      <c r="G55" s="436"/>
      <c r="J55" s="444"/>
    </row>
    <row r="56" spans="2:10" x14ac:dyDescent="0.25">
      <c r="B56" s="600"/>
      <c r="C56" s="444"/>
      <c r="D56" s="444"/>
      <c r="E56" s="444"/>
      <c r="F56" s="444"/>
      <c r="G56" s="436"/>
      <c r="J56" s="444"/>
    </row>
    <row r="57" spans="2:10" x14ac:dyDescent="0.25">
      <c r="B57" s="600"/>
      <c r="C57" s="444"/>
      <c r="D57" s="444"/>
      <c r="E57" s="444"/>
      <c r="F57" s="444"/>
      <c r="G57" s="436"/>
      <c r="J57" s="444"/>
    </row>
    <row r="58" spans="2:10" x14ac:dyDescent="0.25">
      <c r="B58" s="600"/>
      <c r="C58" s="444"/>
      <c r="D58" s="444"/>
      <c r="E58" s="444"/>
      <c r="F58" s="444"/>
      <c r="G58" s="436"/>
      <c r="J58" s="444"/>
    </row>
    <row r="59" spans="2:10" x14ac:dyDescent="0.25">
      <c r="B59" s="600"/>
      <c r="C59" s="444"/>
      <c r="D59" s="444"/>
      <c r="E59" s="444"/>
      <c r="F59" s="444"/>
      <c r="G59" s="436"/>
      <c r="J59" s="444"/>
    </row>
    <row r="60" spans="2:10" x14ac:dyDescent="0.25">
      <c r="C60" s="444"/>
      <c r="D60" s="444"/>
      <c r="E60" s="444"/>
      <c r="F60" s="444"/>
      <c r="G60" s="436"/>
      <c r="J60" s="444"/>
    </row>
    <row r="61" spans="2:10" x14ac:dyDescent="0.25">
      <c r="C61" s="444"/>
      <c r="D61" s="444"/>
      <c r="E61" s="444"/>
      <c r="F61" s="444"/>
      <c r="G61" s="436"/>
      <c r="J61" s="444"/>
    </row>
    <row r="62" spans="2:10" x14ac:dyDescent="0.25">
      <c r="C62" s="444"/>
      <c r="D62" s="444"/>
      <c r="E62" s="444"/>
      <c r="F62" s="444"/>
      <c r="G62" s="436"/>
      <c r="J62" s="444"/>
    </row>
    <row r="63" spans="2:10" x14ac:dyDescent="0.25">
      <c r="C63" s="444"/>
      <c r="D63" s="444"/>
      <c r="E63" s="444"/>
      <c r="F63" s="444"/>
      <c r="G63" s="436"/>
      <c r="J63" s="444"/>
    </row>
    <row r="64" spans="2:10" x14ac:dyDescent="0.25">
      <c r="C64" s="444"/>
      <c r="D64" s="444"/>
      <c r="E64" s="444"/>
      <c r="F64" s="444"/>
      <c r="G64" s="436"/>
      <c r="J64" s="444"/>
    </row>
    <row r="65" spans="3:10" x14ac:dyDescent="0.25">
      <c r="C65" s="444"/>
      <c r="D65" s="444"/>
      <c r="E65" s="444"/>
      <c r="F65" s="444"/>
      <c r="G65" s="436"/>
      <c r="J65" s="444"/>
    </row>
    <row r="66" spans="3:10" x14ac:dyDescent="0.25">
      <c r="C66" s="444"/>
      <c r="D66" s="444"/>
      <c r="E66" s="444"/>
      <c r="F66" s="444"/>
      <c r="G66" s="436"/>
      <c r="J66" s="444"/>
    </row>
    <row r="67" spans="3:10" x14ac:dyDescent="0.25">
      <c r="C67" s="444"/>
      <c r="D67" s="444"/>
      <c r="E67" s="444"/>
      <c r="F67" s="444"/>
      <c r="G67" s="436"/>
      <c r="J67" s="444"/>
    </row>
    <row r="68" spans="3:10" x14ac:dyDescent="0.25">
      <c r="C68" s="444"/>
      <c r="D68" s="444"/>
      <c r="E68" s="444"/>
      <c r="F68" s="444"/>
      <c r="G68" s="436"/>
      <c r="J68" s="444"/>
    </row>
    <row r="69" spans="3:10" x14ac:dyDescent="0.25">
      <c r="C69" s="444"/>
      <c r="D69" s="444"/>
      <c r="E69" s="444"/>
      <c r="F69" s="444"/>
      <c r="G69" s="436"/>
      <c r="J69" s="444"/>
    </row>
    <row r="70" spans="3:10" x14ac:dyDescent="0.25">
      <c r="C70" s="444"/>
      <c r="D70" s="444"/>
      <c r="E70" s="444"/>
      <c r="F70" s="444"/>
      <c r="G70" s="436"/>
      <c r="J70" s="444"/>
    </row>
    <row r="71" spans="3:10" x14ac:dyDescent="0.25">
      <c r="C71" s="444"/>
      <c r="D71" s="444"/>
      <c r="E71" s="444"/>
      <c r="F71" s="444"/>
      <c r="G71" s="436"/>
      <c r="J71" s="444"/>
    </row>
    <row r="72" spans="3:10" x14ac:dyDescent="0.25">
      <c r="C72" s="444"/>
      <c r="D72" s="444"/>
      <c r="E72" s="444"/>
      <c r="F72" s="444"/>
      <c r="G72" s="436"/>
      <c r="J72" s="444"/>
    </row>
    <row r="73" spans="3:10" x14ac:dyDescent="0.25">
      <c r="C73" s="444"/>
      <c r="D73" s="444"/>
      <c r="E73" s="444"/>
      <c r="F73" s="444"/>
      <c r="G73" s="436"/>
      <c r="J73" s="444"/>
    </row>
    <row r="74" spans="3:10" x14ac:dyDescent="0.25">
      <c r="C74" s="444"/>
      <c r="D74" s="444"/>
      <c r="E74" s="444"/>
      <c r="F74" s="444"/>
      <c r="G74" s="436"/>
      <c r="J74" s="444"/>
    </row>
    <row r="75" spans="3:10" x14ac:dyDescent="0.25">
      <c r="C75" s="444"/>
      <c r="D75" s="444"/>
      <c r="E75" s="444"/>
      <c r="F75" s="444"/>
      <c r="G75" s="436"/>
      <c r="J75" s="444"/>
    </row>
    <row r="76" spans="3:10" x14ac:dyDescent="0.25">
      <c r="C76" s="444"/>
      <c r="D76" s="444"/>
      <c r="E76" s="444"/>
      <c r="F76" s="444"/>
      <c r="G76" s="436"/>
      <c r="J76" s="444"/>
    </row>
    <row r="77" spans="3:10" x14ac:dyDescent="0.25">
      <c r="C77" s="444"/>
      <c r="D77" s="444"/>
      <c r="E77" s="444"/>
      <c r="F77" s="444"/>
      <c r="G77" s="436"/>
      <c r="J77" s="444"/>
    </row>
    <row r="78" spans="3:10" x14ac:dyDescent="0.25">
      <c r="C78" s="444"/>
      <c r="D78" s="444"/>
      <c r="E78" s="444"/>
      <c r="F78" s="444"/>
      <c r="G78" s="436"/>
      <c r="J78" s="444"/>
    </row>
    <row r="79" spans="3:10" x14ac:dyDescent="0.25">
      <c r="C79" s="444"/>
      <c r="D79" s="444"/>
      <c r="E79" s="444"/>
      <c r="F79" s="444"/>
      <c r="G79" s="436"/>
      <c r="J79" s="444"/>
    </row>
    <row r="80" spans="3:10" x14ac:dyDescent="0.25">
      <c r="C80" s="444"/>
      <c r="D80" s="444"/>
      <c r="E80" s="444"/>
      <c r="F80" s="444"/>
      <c r="G80" s="436"/>
      <c r="J80" s="444"/>
    </row>
    <row r="81" spans="3:10" x14ac:dyDescent="0.25">
      <c r="C81" s="444"/>
      <c r="D81" s="444"/>
      <c r="E81" s="444"/>
      <c r="F81" s="444"/>
      <c r="G81" s="436"/>
      <c r="J81" s="444"/>
    </row>
    <row r="82" spans="3:10" x14ac:dyDescent="0.25">
      <c r="C82" s="444"/>
      <c r="D82" s="444"/>
      <c r="E82" s="444"/>
      <c r="F82" s="444"/>
      <c r="G82" s="436"/>
      <c r="J82" s="444"/>
    </row>
    <row r="83" spans="3:10" x14ac:dyDescent="0.25">
      <c r="C83" s="444"/>
      <c r="D83" s="444"/>
      <c r="E83" s="444"/>
      <c r="F83" s="444"/>
      <c r="G83" s="436"/>
      <c r="J83" s="444"/>
    </row>
    <row r="84" spans="3:10" x14ac:dyDescent="0.25">
      <c r="C84" s="444"/>
      <c r="D84" s="444"/>
      <c r="E84" s="444"/>
      <c r="F84" s="444"/>
      <c r="G84" s="436"/>
      <c r="J84" s="444"/>
    </row>
    <row r="85" spans="3:10" x14ac:dyDescent="0.25">
      <c r="C85" s="444"/>
      <c r="D85" s="444"/>
      <c r="E85" s="444"/>
      <c r="F85" s="444"/>
      <c r="G85" s="436"/>
      <c r="J85" s="444"/>
    </row>
  </sheetData>
  <mergeCells count="15">
    <mergeCell ref="G19:L34"/>
    <mergeCell ref="Q12:S12"/>
    <mergeCell ref="B13:B14"/>
    <mergeCell ref="C13:C14"/>
    <mergeCell ref="E13:E14"/>
    <mergeCell ref="F13:F14"/>
    <mergeCell ref="B12:F12"/>
    <mergeCell ref="G12:L12"/>
    <mergeCell ref="G13:G14"/>
    <mergeCell ref="H13:H14"/>
    <mergeCell ref="I13:I14"/>
    <mergeCell ref="J13:J14"/>
    <mergeCell ref="K13:K14"/>
    <mergeCell ref="L13:L14"/>
    <mergeCell ref="N12:O12"/>
  </mergeCells>
  <pageMargins left="0.7" right="0.7" top="0.75" bottom="0.75" header="0.3" footer="0.3"/>
  <pageSetup paperSize="5" orientation="landscape" horizontalDpi="4294967295" verticalDpi="4294967295" r:id="rId1"/>
  <rowBreaks count="2" manualBreakCount="2">
    <brk id="10" max="18" man="1"/>
    <brk id="45" max="18" man="1"/>
  </rowBreaks>
  <colBreaks count="2" manualBreakCount="2">
    <brk id="6" max="1048575" man="1"/>
    <brk id="12" max="42" man="1"/>
  </colBreaks>
  <ignoredErrors>
    <ignoredError sqref="D34" 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3"/>
  <sheetViews>
    <sheetView workbookViewId="0"/>
  </sheetViews>
  <sheetFormatPr defaultColWidth="9" defaultRowHeight="18.75" x14ac:dyDescent="0.3"/>
  <cols>
    <col min="1" max="1" width="4.140625" style="60" customWidth="1"/>
    <col min="2" max="2" width="15.85546875" style="60" customWidth="1"/>
    <col min="3" max="3" width="11.7109375" style="60" bestFit="1" customWidth="1"/>
    <col min="4" max="4" width="13.85546875" style="60" bestFit="1" customWidth="1"/>
    <col min="5" max="5" width="13" style="60" customWidth="1"/>
    <col min="6" max="6" width="15.7109375" style="307" customWidth="1"/>
    <col min="7" max="7" width="6.7109375" style="60" customWidth="1"/>
    <col min="8" max="8" width="10.140625" style="60" customWidth="1"/>
    <col min="9" max="9" width="16.7109375" style="60" customWidth="1"/>
    <col min="10" max="10" width="11.85546875" style="280" bestFit="1" customWidth="1"/>
    <col min="11" max="11" width="8.42578125" style="60" bestFit="1" customWidth="1"/>
    <col min="12" max="16384" width="9" style="60"/>
  </cols>
  <sheetData>
    <row r="1" spans="1:15" x14ac:dyDescent="0.3">
      <c r="A1" s="305" t="s">
        <v>563</v>
      </c>
      <c r="F1" s="269"/>
      <c r="G1" s="84"/>
    </row>
    <row r="2" spans="1:15" x14ac:dyDescent="0.3">
      <c r="A2" s="306"/>
    </row>
    <row r="3" spans="1:15" s="280" customFormat="1" ht="14.25" customHeight="1" x14ac:dyDescent="0.3">
      <c r="A3" s="60"/>
      <c r="B3" s="144" t="s">
        <v>585</v>
      </c>
      <c r="C3" s="144"/>
      <c r="D3" s="144"/>
      <c r="E3" s="276"/>
      <c r="F3" s="144" t="s">
        <v>586</v>
      </c>
      <c r="G3" s="277"/>
      <c r="H3" s="338"/>
      <c r="I3" s="277"/>
      <c r="K3" s="60"/>
      <c r="L3" s="60"/>
      <c r="M3" s="60"/>
      <c r="N3" s="60"/>
      <c r="O3" s="60"/>
    </row>
    <row r="4" spans="1:15" s="280" customFormat="1" x14ac:dyDescent="0.3">
      <c r="A4" s="60"/>
      <c r="B4" s="69" t="s">
        <v>541</v>
      </c>
      <c r="C4" s="69"/>
      <c r="D4" s="138">
        <f>+'Example 6 Assumptions Summary'!F13</f>
        <v>10000</v>
      </c>
      <c r="E4" s="278"/>
      <c r="F4" s="69" t="s">
        <v>126</v>
      </c>
      <c r="G4" s="48"/>
      <c r="I4" s="279">
        <f>+D7</f>
        <v>509842</v>
      </c>
      <c r="K4" s="60"/>
      <c r="L4" s="60"/>
      <c r="M4" s="60"/>
      <c r="N4" s="60"/>
      <c r="O4" s="60"/>
    </row>
    <row r="5" spans="1:15" s="280" customFormat="1" x14ac:dyDescent="0.3">
      <c r="A5" s="60"/>
      <c r="B5" s="69" t="s">
        <v>466</v>
      </c>
      <c r="C5" s="49"/>
      <c r="D5" s="49">
        <v>59</v>
      </c>
      <c r="F5" s="69" t="s">
        <v>545</v>
      </c>
      <c r="G5" s="48"/>
      <c r="I5" s="211">
        <f>+D4</f>
        <v>10000</v>
      </c>
      <c r="K5" s="60"/>
      <c r="L5" s="60"/>
      <c r="M5" s="60"/>
      <c r="N5" s="60"/>
      <c r="O5" s="60"/>
    </row>
    <row r="6" spans="1:15" s="280" customFormat="1" ht="19.5" thickBot="1" x14ac:dyDescent="0.35">
      <c r="A6" s="60"/>
      <c r="B6" s="69" t="s">
        <v>125</v>
      </c>
      <c r="C6" s="89"/>
      <c r="D6" s="89">
        <f>6%/12</f>
        <v>5.0000000000000001E-3</v>
      </c>
      <c r="F6" s="282" t="s">
        <v>55</v>
      </c>
      <c r="G6" s="48"/>
      <c r="I6" s="283">
        <f>SUM(I4:I5)</f>
        <v>519842</v>
      </c>
      <c r="K6" s="60"/>
      <c r="L6" s="60"/>
      <c r="M6" s="60"/>
      <c r="N6" s="60"/>
      <c r="O6" s="60"/>
    </row>
    <row r="7" spans="1:15" s="280" customFormat="1" ht="20.25" thickTop="1" thickBot="1" x14ac:dyDescent="0.35">
      <c r="A7" s="60"/>
      <c r="B7" s="69" t="s">
        <v>473</v>
      </c>
      <c r="C7" s="56"/>
      <c r="D7" s="284">
        <f>ROUND(-PV(D6,D5,D4),0)</f>
        <v>509842</v>
      </c>
      <c r="F7" s="60"/>
      <c r="G7" s="48"/>
      <c r="K7" s="60"/>
      <c r="L7" s="60"/>
      <c r="M7" s="60"/>
      <c r="N7" s="60"/>
      <c r="O7" s="60"/>
    </row>
    <row r="8" spans="1:15" s="280" customFormat="1" ht="19.5" thickTop="1" x14ac:dyDescent="0.3">
      <c r="A8" s="60"/>
      <c r="B8" s="69"/>
      <c r="C8" s="56"/>
      <c r="D8" s="336"/>
      <c r="F8" s="152"/>
      <c r="L8" s="60"/>
      <c r="M8" s="60"/>
      <c r="N8" s="60"/>
      <c r="O8" s="60"/>
    </row>
    <row r="9" spans="1:15" s="280" customFormat="1" x14ac:dyDescent="0.3">
      <c r="A9" s="60"/>
      <c r="B9" s="69"/>
      <c r="C9" s="56"/>
      <c r="D9" s="336"/>
      <c r="F9" s="285"/>
      <c r="G9" s="48"/>
      <c r="K9" s="60"/>
      <c r="L9" s="60"/>
      <c r="M9" s="60"/>
      <c r="N9" s="60"/>
      <c r="O9" s="60"/>
    </row>
    <row r="10" spans="1:15" s="280" customFormat="1" x14ac:dyDescent="0.3">
      <c r="A10" s="60"/>
      <c r="B10" s="69"/>
      <c r="C10" s="56"/>
      <c r="D10" s="336"/>
      <c r="E10" s="69" t="s">
        <v>680</v>
      </c>
      <c r="F10" s="48"/>
      <c r="G10" s="48"/>
      <c r="I10" s="138">
        <f>SUM(C20:C25)</f>
        <v>60000</v>
      </c>
      <c r="L10" s="60"/>
      <c r="M10" s="60"/>
      <c r="N10" s="60"/>
      <c r="O10" s="60"/>
    </row>
    <row r="11" spans="1:15" s="280" customFormat="1" x14ac:dyDescent="0.3">
      <c r="A11" s="60"/>
      <c r="B11" s="69"/>
      <c r="C11" s="56"/>
      <c r="D11" s="336"/>
      <c r="F11" s="56"/>
      <c r="G11" s="308"/>
      <c r="H11" s="285"/>
      <c r="I11" s="48"/>
      <c r="K11" s="60"/>
      <c r="L11" s="60"/>
      <c r="M11" s="60"/>
      <c r="N11" s="60"/>
      <c r="O11" s="60"/>
    </row>
    <row r="12" spans="1:15" s="280" customFormat="1" x14ac:dyDescent="0.3">
      <c r="A12" s="60"/>
      <c r="B12" s="48"/>
      <c r="C12" s="48"/>
      <c r="D12" s="48"/>
      <c r="E12" s="49"/>
      <c r="F12" s="96"/>
      <c r="G12" s="96"/>
      <c r="H12" s="60"/>
      <c r="I12" s="60"/>
      <c r="K12" s="60"/>
      <c r="L12" s="60"/>
      <c r="M12" s="60"/>
      <c r="N12" s="60"/>
      <c r="O12" s="60"/>
    </row>
    <row r="13" spans="1:15" x14ac:dyDescent="0.3">
      <c r="B13" s="48"/>
      <c r="C13" s="48"/>
      <c r="D13" s="48"/>
      <c r="E13" s="48"/>
      <c r="F13" s="286"/>
      <c r="G13" s="48"/>
      <c r="I13" s="287">
        <f>SUM(I20:I25)-I17</f>
        <v>0</v>
      </c>
    </row>
    <row r="14" spans="1:15" ht="19.5" customHeight="1" x14ac:dyDescent="0.3">
      <c r="B14" s="865" t="s">
        <v>587</v>
      </c>
      <c r="C14" s="866"/>
      <c r="D14" s="866"/>
      <c r="E14" s="866"/>
      <c r="F14" s="867"/>
      <c r="G14" s="309"/>
      <c r="H14" s="871" t="s">
        <v>588</v>
      </c>
      <c r="I14" s="872"/>
    </row>
    <row r="15" spans="1:15" s="288" customFormat="1" ht="15.4" customHeight="1" x14ac:dyDescent="0.3">
      <c r="B15" s="868"/>
      <c r="C15" s="869"/>
      <c r="D15" s="869"/>
      <c r="E15" s="869"/>
      <c r="F15" s="870"/>
      <c r="G15" s="309"/>
      <c r="H15" s="875"/>
      <c r="I15" s="876"/>
      <c r="J15" s="280"/>
    </row>
    <row r="16" spans="1:15" s="288" customFormat="1" ht="38.65" customHeight="1" x14ac:dyDescent="0.3">
      <c r="B16" s="877" t="s">
        <v>7</v>
      </c>
      <c r="C16" s="863" t="s">
        <v>542</v>
      </c>
      <c r="D16" s="863" t="s">
        <v>543</v>
      </c>
      <c r="E16" s="877" t="s">
        <v>34</v>
      </c>
      <c r="F16" s="880" t="s">
        <v>33</v>
      </c>
      <c r="H16" s="337"/>
      <c r="I16" s="337" t="s">
        <v>76</v>
      </c>
    </row>
    <row r="17" spans="1:10" s="288" customFormat="1" x14ac:dyDescent="0.3">
      <c r="B17" s="878"/>
      <c r="C17" s="864"/>
      <c r="D17" s="864"/>
      <c r="E17" s="878"/>
      <c r="F17" s="881"/>
      <c r="G17" s="310"/>
      <c r="H17" s="292" t="s">
        <v>129</v>
      </c>
      <c r="I17" s="292">
        <f>+I6</f>
        <v>519842</v>
      </c>
    </row>
    <row r="18" spans="1:10" s="288" customFormat="1" ht="14.25" customHeight="1" x14ac:dyDescent="0.3">
      <c r="B18" s="879"/>
      <c r="C18" s="290">
        <f>+D4</f>
        <v>10000</v>
      </c>
      <c r="D18" s="291">
        <f>+D6</f>
        <v>5.0000000000000001E-3</v>
      </c>
      <c r="E18" s="879"/>
      <c r="F18" s="290">
        <f>+D7</f>
        <v>509842</v>
      </c>
      <c r="G18" s="310"/>
      <c r="H18" s="292" t="s">
        <v>128</v>
      </c>
      <c r="I18" s="293">
        <v>5</v>
      </c>
    </row>
    <row r="19" spans="1:10" x14ac:dyDescent="0.3">
      <c r="B19" s="171"/>
      <c r="C19" s="171"/>
      <c r="D19" s="171"/>
      <c r="E19" s="294"/>
      <c r="F19" s="171"/>
      <c r="G19" s="49"/>
      <c r="H19" s="295"/>
      <c r="I19" s="296"/>
    </row>
    <row r="20" spans="1:10" x14ac:dyDescent="0.3">
      <c r="A20" s="60">
        <v>1</v>
      </c>
      <c r="B20" s="297">
        <v>44197</v>
      </c>
      <c r="C20" s="171">
        <f>+C18</f>
        <v>10000</v>
      </c>
      <c r="D20" s="171"/>
      <c r="E20" s="296">
        <f>+C20-D20</f>
        <v>10000</v>
      </c>
      <c r="F20" s="296">
        <f>+D7</f>
        <v>509842</v>
      </c>
      <c r="G20" s="286"/>
      <c r="H20" s="295" t="s">
        <v>102</v>
      </c>
      <c r="I20" s="296">
        <f>ROUND(+$I$17/$I$18/2,0)+1</f>
        <v>51985</v>
      </c>
    </row>
    <row r="21" spans="1:10" x14ac:dyDescent="0.3">
      <c r="A21" s="60">
        <v>2</v>
      </c>
      <c r="B21" s="297">
        <v>44228</v>
      </c>
      <c r="C21" s="296">
        <f>+$C$18</f>
        <v>10000</v>
      </c>
      <c r="D21" s="296">
        <f>ROUND(+F20*$D$18,0)</f>
        <v>2549</v>
      </c>
      <c r="E21" s="296">
        <f>+C21-D21</f>
        <v>7451</v>
      </c>
      <c r="F21" s="296">
        <f>+F20-E21</f>
        <v>502391</v>
      </c>
      <c r="G21" s="286"/>
      <c r="H21" s="295">
        <v>2022</v>
      </c>
      <c r="I21" s="296">
        <f>ROUND(+$I$17/$I$18,0)</f>
        <v>103968</v>
      </c>
    </row>
    <row r="22" spans="1:10" x14ac:dyDescent="0.3">
      <c r="A22" s="60">
        <v>3</v>
      </c>
      <c r="B22" s="297">
        <v>44256</v>
      </c>
      <c r="C22" s="296">
        <f t="shared" ref="C22:C68" si="0">+C21</f>
        <v>10000</v>
      </c>
      <c r="D22" s="296">
        <f t="shared" ref="D22:D78" si="1">ROUND(+F21*$D$18,0)</f>
        <v>2512</v>
      </c>
      <c r="E22" s="296">
        <f t="shared" ref="E22:E78" si="2">+C22-D22</f>
        <v>7488</v>
      </c>
      <c r="F22" s="296">
        <f t="shared" ref="F22:F78" si="3">+F21-E22</f>
        <v>494903</v>
      </c>
      <c r="G22" s="286"/>
      <c r="H22" s="295">
        <v>2023</v>
      </c>
      <c r="I22" s="296">
        <f>ROUND(+$I$17/$I$18,0)</f>
        <v>103968</v>
      </c>
    </row>
    <row r="23" spans="1:10" x14ac:dyDescent="0.3">
      <c r="A23" s="60">
        <v>4</v>
      </c>
      <c r="B23" s="297">
        <v>44287</v>
      </c>
      <c r="C23" s="296">
        <f t="shared" si="0"/>
        <v>10000</v>
      </c>
      <c r="D23" s="296">
        <f t="shared" si="1"/>
        <v>2475</v>
      </c>
      <c r="E23" s="296">
        <f t="shared" si="2"/>
        <v>7525</v>
      </c>
      <c r="F23" s="296">
        <f t="shared" si="3"/>
        <v>487378</v>
      </c>
      <c r="G23" s="286"/>
      <c r="H23" s="295">
        <v>2024</v>
      </c>
      <c r="I23" s="296">
        <f>ROUND(+$I$17/$I$18,0)</f>
        <v>103968</v>
      </c>
    </row>
    <row r="24" spans="1:10" x14ac:dyDescent="0.3">
      <c r="A24" s="60">
        <v>5</v>
      </c>
      <c r="B24" s="297">
        <v>44317</v>
      </c>
      <c r="C24" s="296">
        <f t="shared" si="0"/>
        <v>10000</v>
      </c>
      <c r="D24" s="296">
        <f t="shared" si="1"/>
        <v>2437</v>
      </c>
      <c r="E24" s="296">
        <f t="shared" si="2"/>
        <v>7563</v>
      </c>
      <c r="F24" s="296">
        <f t="shared" si="3"/>
        <v>479815</v>
      </c>
      <c r="G24" s="286"/>
      <c r="H24" s="295">
        <v>2025</v>
      </c>
      <c r="I24" s="296">
        <f>ROUND(+$I$17/$I$18,0)</f>
        <v>103968</v>
      </c>
    </row>
    <row r="25" spans="1:10" x14ac:dyDescent="0.3">
      <c r="A25" s="202">
        <v>6</v>
      </c>
      <c r="B25" s="298">
        <v>44348</v>
      </c>
      <c r="C25" s="299">
        <f t="shared" si="0"/>
        <v>10000</v>
      </c>
      <c r="D25" s="299">
        <f t="shared" si="1"/>
        <v>2399</v>
      </c>
      <c r="E25" s="299">
        <f t="shared" si="2"/>
        <v>7601</v>
      </c>
      <c r="F25" s="299">
        <f t="shared" si="3"/>
        <v>472214</v>
      </c>
      <c r="G25" s="286"/>
      <c r="H25" s="300">
        <v>2026</v>
      </c>
      <c r="I25" s="299">
        <f>ROUND(+$I$17/$I$18/2,0)+1</f>
        <v>51985</v>
      </c>
    </row>
    <row r="26" spans="1:10" x14ac:dyDescent="0.3">
      <c r="A26" s="60">
        <v>7</v>
      </c>
      <c r="B26" s="297">
        <v>44378</v>
      </c>
      <c r="C26" s="296">
        <f t="shared" si="0"/>
        <v>10000</v>
      </c>
      <c r="D26" s="296">
        <f t="shared" si="1"/>
        <v>2361</v>
      </c>
      <c r="E26" s="296">
        <f t="shared" si="2"/>
        <v>7639</v>
      </c>
      <c r="F26" s="296">
        <f t="shared" si="3"/>
        <v>464575</v>
      </c>
      <c r="G26" s="286"/>
      <c r="H26" s="301"/>
      <c r="I26" s="286"/>
    </row>
    <row r="27" spans="1:10" x14ac:dyDescent="0.3">
      <c r="A27" s="60">
        <v>8</v>
      </c>
      <c r="B27" s="297">
        <v>44409</v>
      </c>
      <c r="C27" s="296">
        <f t="shared" si="0"/>
        <v>10000</v>
      </c>
      <c r="D27" s="296">
        <f t="shared" si="1"/>
        <v>2323</v>
      </c>
      <c r="E27" s="296">
        <f t="shared" si="2"/>
        <v>7677</v>
      </c>
      <c r="F27" s="296">
        <f t="shared" si="3"/>
        <v>456898</v>
      </c>
      <c r="G27" s="286"/>
      <c r="H27" s="301"/>
      <c r="I27" s="286"/>
    </row>
    <row r="28" spans="1:10" x14ac:dyDescent="0.3">
      <c r="A28" s="60">
        <v>9</v>
      </c>
      <c r="B28" s="297">
        <v>44440</v>
      </c>
      <c r="C28" s="296">
        <f t="shared" si="0"/>
        <v>10000</v>
      </c>
      <c r="D28" s="296">
        <f t="shared" si="1"/>
        <v>2284</v>
      </c>
      <c r="E28" s="296">
        <f t="shared" si="2"/>
        <v>7716</v>
      </c>
      <c r="F28" s="296">
        <f t="shared" si="3"/>
        <v>449182</v>
      </c>
      <c r="G28" s="286"/>
      <c r="H28" s="301"/>
      <c r="I28" s="286"/>
    </row>
    <row r="29" spans="1:10" x14ac:dyDescent="0.3">
      <c r="A29" s="60">
        <v>10</v>
      </c>
      <c r="B29" s="297">
        <v>44470</v>
      </c>
      <c r="C29" s="296">
        <f t="shared" si="0"/>
        <v>10000</v>
      </c>
      <c r="D29" s="296">
        <f t="shared" si="1"/>
        <v>2246</v>
      </c>
      <c r="E29" s="296">
        <f t="shared" si="2"/>
        <v>7754</v>
      </c>
      <c r="F29" s="296">
        <f t="shared" si="3"/>
        <v>441428</v>
      </c>
      <c r="G29" s="286"/>
      <c r="H29" s="301"/>
      <c r="I29" s="286"/>
    </row>
    <row r="30" spans="1:10" x14ac:dyDescent="0.3">
      <c r="A30" s="60">
        <v>11</v>
      </c>
      <c r="B30" s="297">
        <v>44501</v>
      </c>
      <c r="C30" s="296">
        <f>+C29</f>
        <v>10000</v>
      </c>
      <c r="D30" s="296">
        <f t="shared" si="1"/>
        <v>2207</v>
      </c>
      <c r="E30" s="296">
        <f t="shared" si="2"/>
        <v>7793</v>
      </c>
      <c r="F30" s="296">
        <f t="shared" si="3"/>
        <v>433635</v>
      </c>
      <c r="G30" s="286"/>
      <c r="H30" s="301"/>
      <c r="I30" s="286"/>
    </row>
    <row r="31" spans="1:10" x14ac:dyDescent="0.3">
      <c r="A31" s="60">
        <v>12</v>
      </c>
      <c r="B31" s="297">
        <v>44531</v>
      </c>
      <c r="C31" s="296">
        <f t="shared" si="0"/>
        <v>10000</v>
      </c>
      <c r="D31" s="296">
        <f t="shared" si="1"/>
        <v>2168</v>
      </c>
      <c r="E31" s="296">
        <f t="shared" si="2"/>
        <v>7832</v>
      </c>
      <c r="F31" s="296">
        <f t="shared" si="3"/>
        <v>425803</v>
      </c>
      <c r="G31" s="286"/>
      <c r="H31" s="301"/>
      <c r="I31" s="286"/>
    </row>
    <row r="32" spans="1:10" s="161" customFormat="1" x14ac:dyDescent="0.3">
      <c r="A32" s="60">
        <v>13</v>
      </c>
      <c r="B32" s="297">
        <v>44562</v>
      </c>
      <c r="C32" s="296">
        <f t="shared" si="0"/>
        <v>10000</v>
      </c>
      <c r="D32" s="296">
        <f t="shared" si="1"/>
        <v>2129</v>
      </c>
      <c r="E32" s="296">
        <f t="shared" si="2"/>
        <v>7871</v>
      </c>
      <c r="F32" s="296">
        <f t="shared" si="3"/>
        <v>417932</v>
      </c>
      <c r="G32" s="56"/>
      <c r="H32" s="301"/>
      <c r="I32" s="303"/>
      <c r="J32" s="304"/>
    </row>
    <row r="33" spans="1:10" s="161" customFormat="1" x14ac:dyDescent="0.3">
      <c r="A33" s="60">
        <v>14</v>
      </c>
      <c r="B33" s="297">
        <v>44593</v>
      </c>
      <c r="C33" s="296">
        <f t="shared" si="0"/>
        <v>10000</v>
      </c>
      <c r="D33" s="296">
        <f t="shared" si="1"/>
        <v>2090</v>
      </c>
      <c r="E33" s="296">
        <f t="shared" si="2"/>
        <v>7910</v>
      </c>
      <c r="F33" s="296">
        <f t="shared" si="3"/>
        <v>410022</v>
      </c>
      <c r="G33" s="56"/>
      <c r="H33" s="301"/>
      <c r="I33" s="303"/>
      <c r="J33" s="304"/>
    </row>
    <row r="34" spans="1:10" s="161" customFormat="1" x14ac:dyDescent="0.3">
      <c r="A34" s="60">
        <v>15</v>
      </c>
      <c r="B34" s="297">
        <v>44621</v>
      </c>
      <c r="C34" s="296">
        <f t="shared" si="0"/>
        <v>10000</v>
      </c>
      <c r="D34" s="296">
        <f t="shared" si="1"/>
        <v>2050</v>
      </c>
      <c r="E34" s="296">
        <f t="shared" si="2"/>
        <v>7950</v>
      </c>
      <c r="F34" s="296">
        <f t="shared" si="3"/>
        <v>402072</v>
      </c>
      <c r="G34" s="56"/>
      <c r="H34" s="301"/>
      <c r="I34" s="303"/>
      <c r="J34" s="304"/>
    </row>
    <row r="35" spans="1:10" s="161" customFormat="1" x14ac:dyDescent="0.3">
      <c r="A35" s="60">
        <v>16</v>
      </c>
      <c r="B35" s="297">
        <v>44652</v>
      </c>
      <c r="C35" s="296">
        <f t="shared" si="0"/>
        <v>10000</v>
      </c>
      <c r="D35" s="296">
        <f t="shared" si="1"/>
        <v>2010</v>
      </c>
      <c r="E35" s="296">
        <f t="shared" si="2"/>
        <v>7990</v>
      </c>
      <c r="F35" s="296">
        <f t="shared" si="3"/>
        <v>394082</v>
      </c>
      <c r="G35" s="56"/>
      <c r="H35" s="301"/>
      <c r="I35" s="303"/>
      <c r="J35" s="304"/>
    </row>
    <row r="36" spans="1:10" s="161" customFormat="1" x14ac:dyDescent="0.3">
      <c r="A36" s="60">
        <v>17</v>
      </c>
      <c r="B36" s="297">
        <v>44682</v>
      </c>
      <c r="C36" s="296">
        <f t="shared" si="0"/>
        <v>10000</v>
      </c>
      <c r="D36" s="296">
        <f t="shared" si="1"/>
        <v>1970</v>
      </c>
      <c r="E36" s="296">
        <f t="shared" si="2"/>
        <v>8030</v>
      </c>
      <c r="F36" s="296">
        <f t="shared" si="3"/>
        <v>386052</v>
      </c>
      <c r="G36" s="56"/>
      <c r="H36" s="301"/>
      <c r="I36" s="303"/>
      <c r="J36" s="304"/>
    </row>
    <row r="37" spans="1:10" s="161" customFormat="1" x14ac:dyDescent="0.3">
      <c r="A37" s="146">
        <v>18</v>
      </c>
      <c r="B37" s="298">
        <v>44713</v>
      </c>
      <c r="C37" s="299">
        <f t="shared" si="0"/>
        <v>10000</v>
      </c>
      <c r="D37" s="299">
        <f t="shared" si="1"/>
        <v>1930</v>
      </c>
      <c r="E37" s="299">
        <f t="shared" si="2"/>
        <v>8070</v>
      </c>
      <c r="F37" s="299">
        <f t="shared" si="3"/>
        <v>377982</v>
      </c>
      <c r="G37" s="56"/>
      <c r="H37" s="301"/>
      <c r="I37" s="303"/>
      <c r="J37" s="304"/>
    </row>
    <row r="38" spans="1:10" s="161" customFormat="1" x14ac:dyDescent="0.3">
      <c r="A38" s="60">
        <v>19</v>
      </c>
      <c r="B38" s="297">
        <v>44743</v>
      </c>
      <c r="C38" s="296">
        <f t="shared" si="0"/>
        <v>10000</v>
      </c>
      <c r="D38" s="296">
        <f t="shared" si="1"/>
        <v>1890</v>
      </c>
      <c r="E38" s="296">
        <f t="shared" si="2"/>
        <v>8110</v>
      </c>
      <c r="F38" s="296">
        <f t="shared" si="3"/>
        <v>369872</v>
      </c>
      <c r="G38" s="56"/>
      <c r="H38" s="301"/>
      <c r="I38" s="303"/>
      <c r="J38" s="304"/>
    </row>
    <row r="39" spans="1:10" s="161" customFormat="1" x14ac:dyDescent="0.3">
      <c r="A39" s="60">
        <v>20</v>
      </c>
      <c r="B39" s="297">
        <v>44774</v>
      </c>
      <c r="C39" s="296">
        <f t="shared" si="0"/>
        <v>10000</v>
      </c>
      <c r="D39" s="296">
        <f t="shared" si="1"/>
        <v>1849</v>
      </c>
      <c r="E39" s="296">
        <f t="shared" si="2"/>
        <v>8151</v>
      </c>
      <c r="F39" s="296">
        <f t="shared" si="3"/>
        <v>361721</v>
      </c>
      <c r="G39" s="56"/>
      <c r="H39" s="301"/>
      <c r="I39" s="303"/>
      <c r="J39" s="304"/>
    </row>
    <row r="40" spans="1:10" s="161" customFormat="1" x14ac:dyDescent="0.3">
      <c r="A40" s="60">
        <v>21</v>
      </c>
      <c r="B40" s="297">
        <v>44805</v>
      </c>
      <c r="C40" s="296">
        <f t="shared" si="0"/>
        <v>10000</v>
      </c>
      <c r="D40" s="296">
        <f t="shared" si="1"/>
        <v>1809</v>
      </c>
      <c r="E40" s="296">
        <f t="shared" si="2"/>
        <v>8191</v>
      </c>
      <c r="F40" s="296">
        <f t="shared" si="3"/>
        <v>353530</v>
      </c>
      <c r="G40" s="56"/>
      <c r="H40" s="301"/>
      <c r="I40" s="303"/>
      <c r="J40" s="304"/>
    </row>
    <row r="41" spans="1:10" s="161" customFormat="1" x14ac:dyDescent="0.3">
      <c r="A41" s="60">
        <v>22</v>
      </c>
      <c r="B41" s="297">
        <v>44835</v>
      </c>
      <c r="C41" s="296">
        <f t="shared" si="0"/>
        <v>10000</v>
      </c>
      <c r="D41" s="296">
        <f t="shared" si="1"/>
        <v>1768</v>
      </c>
      <c r="E41" s="296">
        <f t="shared" si="2"/>
        <v>8232</v>
      </c>
      <c r="F41" s="296">
        <f t="shared" si="3"/>
        <v>345298</v>
      </c>
      <c r="G41" s="56"/>
      <c r="H41" s="301"/>
      <c r="I41" s="303"/>
      <c r="J41" s="304"/>
    </row>
    <row r="42" spans="1:10" s="161" customFormat="1" x14ac:dyDescent="0.3">
      <c r="A42" s="60">
        <v>23</v>
      </c>
      <c r="B42" s="297">
        <v>44866</v>
      </c>
      <c r="C42" s="296">
        <f t="shared" si="0"/>
        <v>10000</v>
      </c>
      <c r="D42" s="296">
        <f t="shared" si="1"/>
        <v>1726</v>
      </c>
      <c r="E42" s="296">
        <f t="shared" si="2"/>
        <v>8274</v>
      </c>
      <c r="F42" s="296">
        <f t="shared" si="3"/>
        <v>337024</v>
      </c>
      <c r="G42" s="56"/>
      <c r="H42" s="301"/>
      <c r="I42" s="303"/>
      <c r="J42" s="304"/>
    </row>
    <row r="43" spans="1:10" s="161" customFormat="1" x14ac:dyDescent="0.3">
      <c r="A43" s="60">
        <v>24</v>
      </c>
      <c r="B43" s="297">
        <v>44896</v>
      </c>
      <c r="C43" s="296">
        <f t="shared" si="0"/>
        <v>10000</v>
      </c>
      <c r="D43" s="296">
        <f t="shared" si="1"/>
        <v>1685</v>
      </c>
      <c r="E43" s="296">
        <f t="shared" si="2"/>
        <v>8315</v>
      </c>
      <c r="F43" s="296">
        <f t="shared" si="3"/>
        <v>328709</v>
      </c>
      <c r="G43" s="56"/>
      <c r="H43" s="301"/>
      <c r="I43" s="303"/>
      <c r="J43" s="304"/>
    </row>
    <row r="44" spans="1:10" s="161" customFormat="1" x14ac:dyDescent="0.3">
      <c r="A44" s="60">
        <v>25</v>
      </c>
      <c r="B44" s="297">
        <v>44927</v>
      </c>
      <c r="C44" s="296">
        <f t="shared" si="0"/>
        <v>10000</v>
      </c>
      <c r="D44" s="296">
        <f t="shared" si="1"/>
        <v>1644</v>
      </c>
      <c r="E44" s="296">
        <f t="shared" si="2"/>
        <v>8356</v>
      </c>
      <c r="F44" s="296">
        <f t="shared" si="3"/>
        <v>320353</v>
      </c>
      <c r="G44" s="56"/>
      <c r="H44" s="301"/>
      <c r="I44" s="303"/>
      <c r="J44" s="304"/>
    </row>
    <row r="45" spans="1:10" s="161" customFormat="1" x14ac:dyDescent="0.3">
      <c r="A45" s="60">
        <v>26</v>
      </c>
      <c r="B45" s="297">
        <v>44958</v>
      </c>
      <c r="C45" s="296">
        <f t="shared" si="0"/>
        <v>10000</v>
      </c>
      <c r="D45" s="296">
        <f t="shared" si="1"/>
        <v>1602</v>
      </c>
      <c r="E45" s="296">
        <f t="shared" si="2"/>
        <v>8398</v>
      </c>
      <c r="F45" s="296">
        <f t="shared" si="3"/>
        <v>311955</v>
      </c>
      <c r="G45" s="56"/>
      <c r="H45" s="301"/>
      <c r="I45" s="303"/>
      <c r="J45" s="304"/>
    </row>
    <row r="46" spans="1:10" s="161" customFormat="1" x14ac:dyDescent="0.3">
      <c r="A46" s="60">
        <v>27</v>
      </c>
      <c r="B46" s="297">
        <v>44986</v>
      </c>
      <c r="C46" s="296">
        <f t="shared" si="0"/>
        <v>10000</v>
      </c>
      <c r="D46" s="296">
        <f t="shared" si="1"/>
        <v>1560</v>
      </c>
      <c r="E46" s="296">
        <f t="shared" si="2"/>
        <v>8440</v>
      </c>
      <c r="F46" s="296">
        <f t="shared" si="3"/>
        <v>303515</v>
      </c>
      <c r="G46" s="56"/>
      <c r="H46" s="301"/>
      <c r="I46" s="303"/>
      <c r="J46" s="304"/>
    </row>
    <row r="47" spans="1:10" s="161" customFormat="1" x14ac:dyDescent="0.3">
      <c r="A47" s="60">
        <v>28</v>
      </c>
      <c r="B47" s="297">
        <v>45017</v>
      </c>
      <c r="C47" s="296">
        <f t="shared" si="0"/>
        <v>10000</v>
      </c>
      <c r="D47" s="296">
        <f t="shared" si="1"/>
        <v>1518</v>
      </c>
      <c r="E47" s="296">
        <f t="shared" si="2"/>
        <v>8482</v>
      </c>
      <c r="F47" s="296">
        <f t="shared" si="3"/>
        <v>295033</v>
      </c>
      <c r="G47" s="56"/>
      <c r="H47" s="301"/>
      <c r="I47" s="303"/>
      <c r="J47" s="304"/>
    </row>
    <row r="48" spans="1:10" s="161" customFormat="1" x14ac:dyDescent="0.3">
      <c r="A48" s="60">
        <v>29</v>
      </c>
      <c r="B48" s="297">
        <v>45047</v>
      </c>
      <c r="C48" s="296">
        <f t="shared" si="0"/>
        <v>10000</v>
      </c>
      <c r="D48" s="296">
        <f t="shared" si="1"/>
        <v>1475</v>
      </c>
      <c r="E48" s="296">
        <f t="shared" si="2"/>
        <v>8525</v>
      </c>
      <c r="F48" s="296">
        <f t="shared" si="3"/>
        <v>286508</v>
      </c>
      <c r="G48" s="56"/>
      <c r="H48" s="301"/>
      <c r="I48" s="303"/>
      <c r="J48" s="304"/>
    </row>
    <row r="49" spans="1:10" s="161" customFormat="1" x14ac:dyDescent="0.3">
      <c r="A49" s="146">
        <v>30</v>
      </c>
      <c r="B49" s="298">
        <v>45078</v>
      </c>
      <c r="C49" s="299">
        <f t="shared" si="0"/>
        <v>10000</v>
      </c>
      <c r="D49" s="299">
        <f t="shared" si="1"/>
        <v>1433</v>
      </c>
      <c r="E49" s="299">
        <f t="shared" si="2"/>
        <v>8567</v>
      </c>
      <c r="F49" s="299">
        <f t="shared" si="3"/>
        <v>277941</v>
      </c>
      <c r="G49" s="56"/>
      <c r="H49" s="301"/>
      <c r="I49" s="303"/>
      <c r="J49" s="304"/>
    </row>
    <row r="50" spans="1:10" s="161" customFormat="1" x14ac:dyDescent="0.3">
      <c r="A50" s="60">
        <v>31</v>
      </c>
      <c r="B50" s="297">
        <v>45108</v>
      </c>
      <c r="C50" s="296">
        <f t="shared" si="0"/>
        <v>10000</v>
      </c>
      <c r="D50" s="296">
        <f t="shared" si="1"/>
        <v>1390</v>
      </c>
      <c r="E50" s="296">
        <f t="shared" si="2"/>
        <v>8610</v>
      </c>
      <c r="F50" s="296">
        <f t="shared" si="3"/>
        <v>269331</v>
      </c>
      <c r="G50" s="56"/>
      <c r="H50" s="301"/>
      <c r="I50" s="303"/>
      <c r="J50" s="304"/>
    </row>
    <row r="51" spans="1:10" s="161" customFormat="1" x14ac:dyDescent="0.3">
      <c r="A51" s="60">
        <v>32</v>
      </c>
      <c r="B51" s="297">
        <v>45139</v>
      </c>
      <c r="C51" s="296">
        <f t="shared" si="0"/>
        <v>10000</v>
      </c>
      <c r="D51" s="296">
        <f t="shared" si="1"/>
        <v>1347</v>
      </c>
      <c r="E51" s="296">
        <f t="shared" si="2"/>
        <v>8653</v>
      </c>
      <c r="F51" s="296">
        <f t="shared" si="3"/>
        <v>260678</v>
      </c>
      <c r="G51" s="56"/>
      <c r="H51" s="301"/>
      <c r="I51" s="303"/>
      <c r="J51" s="304"/>
    </row>
    <row r="52" spans="1:10" s="161" customFormat="1" x14ac:dyDescent="0.3">
      <c r="A52" s="60">
        <v>33</v>
      </c>
      <c r="B52" s="297">
        <v>45170</v>
      </c>
      <c r="C52" s="296">
        <f t="shared" si="0"/>
        <v>10000</v>
      </c>
      <c r="D52" s="296">
        <f t="shared" si="1"/>
        <v>1303</v>
      </c>
      <c r="E52" s="296">
        <f t="shared" si="2"/>
        <v>8697</v>
      </c>
      <c r="F52" s="296">
        <f t="shared" si="3"/>
        <v>251981</v>
      </c>
      <c r="G52" s="56"/>
      <c r="H52" s="301"/>
      <c r="I52" s="303"/>
      <c r="J52" s="304"/>
    </row>
    <row r="53" spans="1:10" s="161" customFormat="1" x14ac:dyDescent="0.3">
      <c r="A53" s="60">
        <v>34</v>
      </c>
      <c r="B53" s="297">
        <v>45200</v>
      </c>
      <c r="C53" s="296">
        <f t="shared" si="0"/>
        <v>10000</v>
      </c>
      <c r="D53" s="296">
        <f t="shared" si="1"/>
        <v>1260</v>
      </c>
      <c r="E53" s="296">
        <f t="shared" si="2"/>
        <v>8740</v>
      </c>
      <c r="F53" s="296">
        <f t="shared" si="3"/>
        <v>243241</v>
      </c>
      <c r="G53" s="56"/>
      <c r="H53" s="301"/>
      <c r="I53" s="303"/>
      <c r="J53" s="304"/>
    </row>
    <row r="54" spans="1:10" s="161" customFormat="1" x14ac:dyDescent="0.3">
      <c r="A54" s="60">
        <v>35</v>
      </c>
      <c r="B54" s="297">
        <v>45231</v>
      </c>
      <c r="C54" s="296">
        <f t="shared" si="0"/>
        <v>10000</v>
      </c>
      <c r="D54" s="296">
        <f t="shared" si="1"/>
        <v>1216</v>
      </c>
      <c r="E54" s="296">
        <f t="shared" si="2"/>
        <v>8784</v>
      </c>
      <c r="F54" s="296">
        <f t="shared" si="3"/>
        <v>234457</v>
      </c>
      <c r="G54" s="56"/>
      <c r="H54" s="301"/>
      <c r="I54" s="303"/>
      <c r="J54" s="304"/>
    </row>
    <row r="55" spans="1:10" s="161" customFormat="1" x14ac:dyDescent="0.3">
      <c r="A55" s="60">
        <v>36</v>
      </c>
      <c r="B55" s="297">
        <v>45261</v>
      </c>
      <c r="C55" s="296">
        <f t="shared" si="0"/>
        <v>10000</v>
      </c>
      <c r="D55" s="296">
        <f t="shared" si="1"/>
        <v>1172</v>
      </c>
      <c r="E55" s="296">
        <f t="shared" si="2"/>
        <v>8828</v>
      </c>
      <c r="F55" s="296">
        <f t="shared" si="3"/>
        <v>225629</v>
      </c>
      <c r="G55" s="56"/>
      <c r="H55" s="301"/>
      <c r="I55" s="303"/>
      <c r="J55" s="304"/>
    </row>
    <row r="56" spans="1:10" s="161" customFormat="1" x14ac:dyDescent="0.3">
      <c r="A56" s="60">
        <v>37</v>
      </c>
      <c r="B56" s="297">
        <v>45292</v>
      </c>
      <c r="C56" s="296">
        <f t="shared" si="0"/>
        <v>10000</v>
      </c>
      <c r="D56" s="296">
        <f t="shared" si="1"/>
        <v>1128</v>
      </c>
      <c r="E56" s="296">
        <f t="shared" si="2"/>
        <v>8872</v>
      </c>
      <c r="F56" s="296">
        <f t="shared" si="3"/>
        <v>216757</v>
      </c>
      <c r="G56" s="56"/>
      <c r="H56" s="301"/>
      <c r="I56" s="303"/>
      <c r="J56" s="304"/>
    </row>
    <row r="57" spans="1:10" s="161" customFormat="1" x14ac:dyDescent="0.3">
      <c r="A57" s="60">
        <v>38</v>
      </c>
      <c r="B57" s="297">
        <v>45323</v>
      </c>
      <c r="C57" s="296">
        <f t="shared" si="0"/>
        <v>10000</v>
      </c>
      <c r="D57" s="296">
        <f t="shared" si="1"/>
        <v>1084</v>
      </c>
      <c r="E57" s="296">
        <f t="shared" si="2"/>
        <v>8916</v>
      </c>
      <c r="F57" s="296">
        <f t="shared" si="3"/>
        <v>207841</v>
      </c>
      <c r="G57" s="56"/>
      <c r="H57" s="301"/>
      <c r="I57" s="303"/>
      <c r="J57" s="304"/>
    </row>
    <row r="58" spans="1:10" s="161" customFormat="1" x14ac:dyDescent="0.3">
      <c r="A58" s="60">
        <v>39</v>
      </c>
      <c r="B58" s="297">
        <v>45352</v>
      </c>
      <c r="C58" s="296">
        <f t="shared" si="0"/>
        <v>10000</v>
      </c>
      <c r="D58" s="296">
        <f t="shared" si="1"/>
        <v>1039</v>
      </c>
      <c r="E58" s="296">
        <f t="shared" si="2"/>
        <v>8961</v>
      </c>
      <c r="F58" s="296">
        <f t="shared" si="3"/>
        <v>198880</v>
      </c>
      <c r="G58" s="56"/>
      <c r="H58" s="301"/>
      <c r="I58" s="303"/>
      <c r="J58" s="304"/>
    </row>
    <row r="59" spans="1:10" s="161" customFormat="1" x14ac:dyDescent="0.3">
      <c r="A59" s="60">
        <v>40</v>
      </c>
      <c r="B59" s="297">
        <v>45383</v>
      </c>
      <c r="C59" s="296">
        <f t="shared" si="0"/>
        <v>10000</v>
      </c>
      <c r="D59" s="296">
        <f t="shared" si="1"/>
        <v>994</v>
      </c>
      <c r="E59" s="296">
        <f t="shared" si="2"/>
        <v>9006</v>
      </c>
      <c r="F59" s="296">
        <f t="shared" si="3"/>
        <v>189874</v>
      </c>
      <c r="G59" s="56"/>
      <c r="H59" s="301"/>
      <c r="I59" s="303"/>
      <c r="J59" s="304"/>
    </row>
    <row r="60" spans="1:10" s="161" customFormat="1" x14ac:dyDescent="0.3">
      <c r="A60" s="60">
        <v>41</v>
      </c>
      <c r="B60" s="297">
        <v>45413</v>
      </c>
      <c r="C60" s="296">
        <f t="shared" si="0"/>
        <v>10000</v>
      </c>
      <c r="D60" s="296">
        <f t="shared" si="1"/>
        <v>949</v>
      </c>
      <c r="E60" s="296">
        <f t="shared" si="2"/>
        <v>9051</v>
      </c>
      <c r="F60" s="296">
        <f t="shared" si="3"/>
        <v>180823</v>
      </c>
      <c r="G60" s="302"/>
      <c r="H60" s="301"/>
      <c r="I60" s="303"/>
      <c r="J60" s="304"/>
    </row>
    <row r="61" spans="1:10" s="161" customFormat="1" x14ac:dyDescent="0.3">
      <c r="A61" s="60">
        <v>42</v>
      </c>
      <c r="B61" s="298">
        <v>45444</v>
      </c>
      <c r="C61" s="299">
        <f t="shared" si="0"/>
        <v>10000</v>
      </c>
      <c r="D61" s="299">
        <f t="shared" si="1"/>
        <v>904</v>
      </c>
      <c r="E61" s="299">
        <f t="shared" si="2"/>
        <v>9096</v>
      </c>
      <c r="F61" s="299">
        <f t="shared" si="3"/>
        <v>171727</v>
      </c>
      <c r="G61" s="302"/>
      <c r="H61" s="301"/>
      <c r="I61" s="303"/>
      <c r="J61" s="304"/>
    </row>
    <row r="62" spans="1:10" s="161" customFormat="1" x14ac:dyDescent="0.3">
      <c r="A62" s="60">
        <v>43</v>
      </c>
      <c r="B62" s="297">
        <v>45474</v>
      </c>
      <c r="C62" s="296">
        <f t="shared" si="0"/>
        <v>10000</v>
      </c>
      <c r="D62" s="296">
        <f t="shared" si="1"/>
        <v>859</v>
      </c>
      <c r="E62" s="296">
        <f t="shared" si="2"/>
        <v>9141</v>
      </c>
      <c r="F62" s="296">
        <f t="shared" si="3"/>
        <v>162586</v>
      </c>
      <c r="G62" s="302"/>
      <c r="H62" s="301"/>
      <c r="I62" s="303"/>
      <c r="J62" s="304"/>
    </row>
    <row r="63" spans="1:10" s="161" customFormat="1" x14ac:dyDescent="0.3">
      <c r="A63" s="60">
        <v>44</v>
      </c>
      <c r="B63" s="297">
        <v>45505</v>
      </c>
      <c r="C63" s="296">
        <f t="shared" si="0"/>
        <v>10000</v>
      </c>
      <c r="D63" s="296">
        <f t="shared" si="1"/>
        <v>813</v>
      </c>
      <c r="E63" s="296">
        <f t="shared" si="2"/>
        <v>9187</v>
      </c>
      <c r="F63" s="296">
        <f t="shared" si="3"/>
        <v>153399</v>
      </c>
      <c r="G63" s="302"/>
      <c r="H63" s="301"/>
      <c r="I63" s="303"/>
      <c r="J63" s="304"/>
    </row>
    <row r="64" spans="1:10" s="161" customFormat="1" x14ac:dyDescent="0.3">
      <c r="A64" s="60">
        <v>45</v>
      </c>
      <c r="B64" s="297">
        <v>45536</v>
      </c>
      <c r="C64" s="296">
        <f t="shared" si="0"/>
        <v>10000</v>
      </c>
      <c r="D64" s="296">
        <f t="shared" si="1"/>
        <v>767</v>
      </c>
      <c r="E64" s="296">
        <f t="shared" si="2"/>
        <v>9233</v>
      </c>
      <c r="F64" s="296">
        <f t="shared" si="3"/>
        <v>144166</v>
      </c>
      <c r="G64" s="302"/>
      <c r="H64" s="301"/>
      <c r="I64" s="303"/>
      <c r="J64" s="304"/>
    </row>
    <row r="65" spans="1:15" s="161" customFormat="1" x14ac:dyDescent="0.3">
      <c r="A65" s="60">
        <v>46</v>
      </c>
      <c r="B65" s="297">
        <v>45566</v>
      </c>
      <c r="C65" s="296">
        <f t="shared" si="0"/>
        <v>10000</v>
      </c>
      <c r="D65" s="296">
        <f t="shared" si="1"/>
        <v>721</v>
      </c>
      <c r="E65" s="296">
        <f t="shared" si="2"/>
        <v>9279</v>
      </c>
      <c r="F65" s="296">
        <f t="shared" si="3"/>
        <v>134887</v>
      </c>
      <c r="G65" s="302"/>
      <c r="H65" s="301"/>
      <c r="I65" s="303"/>
      <c r="J65" s="304"/>
    </row>
    <row r="66" spans="1:15" s="161" customFormat="1" x14ac:dyDescent="0.3">
      <c r="A66" s="60">
        <v>47</v>
      </c>
      <c r="B66" s="297">
        <v>45597</v>
      </c>
      <c r="C66" s="296">
        <f t="shared" si="0"/>
        <v>10000</v>
      </c>
      <c r="D66" s="296">
        <f t="shared" si="1"/>
        <v>674</v>
      </c>
      <c r="E66" s="296">
        <f t="shared" si="2"/>
        <v>9326</v>
      </c>
      <c r="F66" s="296">
        <f t="shared" si="3"/>
        <v>125561</v>
      </c>
      <c r="G66" s="302"/>
      <c r="H66" s="301"/>
      <c r="I66" s="303"/>
      <c r="J66" s="304"/>
    </row>
    <row r="67" spans="1:15" s="161" customFormat="1" x14ac:dyDescent="0.3">
      <c r="A67" s="60">
        <v>48</v>
      </c>
      <c r="B67" s="297">
        <v>45627</v>
      </c>
      <c r="C67" s="296">
        <f t="shared" si="0"/>
        <v>10000</v>
      </c>
      <c r="D67" s="296">
        <f t="shared" si="1"/>
        <v>628</v>
      </c>
      <c r="E67" s="296">
        <f t="shared" si="2"/>
        <v>9372</v>
      </c>
      <c r="F67" s="296">
        <f t="shared" si="3"/>
        <v>116189</v>
      </c>
      <c r="G67" s="302"/>
      <c r="H67" s="301"/>
      <c r="I67" s="303"/>
      <c r="J67" s="304"/>
    </row>
    <row r="68" spans="1:15" s="161" customFormat="1" x14ac:dyDescent="0.3">
      <c r="A68" s="60">
        <v>49</v>
      </c>
      <c r="B68" s="297">
        <v>45658</v>
      </c>
      <c r="C68" s="296">
        <f t="shared" si="0"/>
        <v>10000</v>
      </c>
      <c r="D68" s="296">
        <f t="shared" si="1"/>
        <v>581</v>
      </c>
      <c r="E68" s="296">
        <f t="shared" si="2"/>
        <v>9419</v>
      </c>
      <c r="F68" s="296">
        <f t="shared" si="3"/>
        <v>106770</v>
      </c>
      <c r="G68" s="302"/>
      <c r="H68" s="301"/>
      <c r="I68" s="303"/>
      <c r="J68" s="304"/>
    </row>
    <row r="69" spans="1:15" s="161" customFormat="1" x14ac:dyDescent="0.3">
      <c r="A69" s="60">
        <v>50</v>
      </c>
      <c r="B69" s="297">
        <v>45689</v>
      </c>
      <c r="C69" s="296">
        <f>+C68</f>
        <v>10000</v>
      </c>
      <c r="D69" s="296">
        <f t="shared" si="1"/>
        <v>534</v>
      </c>
      <c r="E69" s="296">
        <f t="shared" si="2"/>
        <v>9466</v>
      </c>
      <c r="F69" s="296">
        <f t="shared" si="3"/>
        <v>97304</v>
      </c>
      <c r="G69" s="302"/>
      <c r="H69" s="301"/>
      <c r="I69" s="303"/>
      <c r="J69" s="304"/>
    </row>
    <row r="70" spans="1:15" s="161" customFormat="1" x14ac:dyDescent="0.3">
      <c r="A70" s="60">
        <v>51</v>
      </c>
      <c r="B70" s="297">
        <v>45717</v>
      </c>
      <c r="C70" s="296">
        <f t="shared" ref="C70:C77" si="4">+C69</f>
        <v>10000</v>
      </c>
      <c r="D70" s="296">
        <f t="shared" si="1"/>
        <v>487</v>
      </c>
      <c r="E70" s="296">
        <f t="shared" si="2"/>
        <v>9513</v>
      </c>
      <c r="F70" s="296">
        <f t="shared" si="3"/>
        <v>87791</v>
      </c>
      <c r="G70" s="302"/>
      <c r="H70" s="301"/>
      <c r="I70" s="303"/>
      <c r="J70" s="304"/>
    </row>
    <row r="71" spans="1:15" s="161" customFormat="1" x14ac:dyDescent="0.3">
      <c r="A71" s="60">
        <v>52</v>
      </c>
      <c r="B71" s="297">
        <v>45748</v>
      </c>
      <c r="C71" s="296">
        <f t="shared" si="4"/>
        <v>10000</v>
      </c>
      <c r="D71" s="296">
        <f t="shared" si="1"/>
        <v>439</v>
      </c>
      <c r="E71" s="296">
        <f t="shared" si="2"/>
        <v>9561</v>
      </c>
      <c r="F71" s="296">
        <f t="shared" si="3"/>
        <v>78230</v>
      </c>
      <c r="G71" s="302"/>
      <c r="H71" s="301"/>
      <c r="I71" s="303"/>
      <c r="J71" s="304"/>
    </row>
    <row r="72" spans="1:15" s="161" customFormat="1" x14ac:dyDescent="0.3">
      <c r="A72" s="60">
        <v>53</v>
      </c>
      <c r="B72" s="297">
        <v>45778</v>
      </c>
      <c r="C72" s="296">
        <f t="shared" si="4"/>
        <v>10000</v>
      </c>
      <c r="D72" s="296">
        <f t="shared" si="1"/>
        <v>391</v>
      </c>
      <c r="E72" s="296">
        <f t="shared" si="2"/>
        <v>9609</v>
      </c>
      <c r="F72" s="296">
        <f t="shared" si="3"/>
        <v>68621</v>
      </c>
      <c r="G72" s="302"/>
      <c r="H72" s="301"/>
      <c r="I72" s="303"/>
      <c r="J72" s="304"/>
    </row>
    <row r="73" spans="1:15" s="161" customFormat="1" x14ac:dyDescent="0.3">
      <c r="A73" s="146">
        <v>54</v>
      </c>
      <c r="B73" s="298">
        <v>45809</v>
      </c>
      <c r="C73" s="299">
        <f t="shared" si="4"/>
        <v>10000</v>
      </c>
      <c r="D73" s="299">
        <f t="shared" si="1"/>
        <v>343</v>
      </c>
      <c r="E73" s="299">
        <f t="shared" si="2"/>
        <v>9657</v>
      </c>
      <c r="F73" s="299">
        <f t="shared" si="3"/>
        <v>58964</v>
      </c>
      <c r="G73" s="302"/>
      <c r="H73" s="301"/>
      <c r="I73" s="303"/>
      <c r="J73" s="304"/>
    </row>
    <row r="74" spans="1:15" s="161" customFormat="1" x14ac:dyDescent="0.3">
      <c r="A74" s="60">
        <v>55</v>
      </c>
      <c r="B74" s="297">
        <v>45839</v>
      </c>
      <c r="C74" s="296">
        <f t="shared" si="4"/>
        <v>10000</v>
      </c>
      <c r="D74" s="296">
        <f t="shared" si="1"/>
        <v>295</v>
      </c>
      <c r="E74" s="296">
        <f t="shared" si="2"/>
        <v>9705</v>
      </c>
      <c r="F74" s="296">
        <f t="shared" si="3"/>
        <v>49259</v>
      </c>
      <c r="G74" s="302"/>
      <c r="H74" s="301"/>
      <c r="I74" s="303"/>
      <c r="J74" s="304"/>
    </row>
    <row r="75" spans="1:15" s="161" customFormat="1" x14ac:dyDescent="0.3">
      <c r="A75" s="60">
        <v>56</v>
      </c>
      <c r="B75" s="297">
        <v>45870</v>
      </c>
      <c r="C75" s="296">
        <f t="shared" si="4"/>
        <v>10000</v>
      </c>
      <c r="D75" s="296">
        <f t="shared" si="1"/>
        <v>246</v>
      </c>
      <c r="E75" s="296">
        <f t="shared" si="2"/>
        <v>9754</v>
      </c>
      <c r="F75" s="296">
        <f t="shared" si="3"/>
        <v>39505</v>
      </c>
      <c r="G75" s="302"/>
      <c r="H75" s="301"/>
      <c r="I75" s="303"/>
      <c r="J75" s="304"/>
    </row>
    <row r="76" spans="1:15" s="161" customFormat="1" x14ac:dyDescent="0.3">
      <c r="A76" s="60">
        <v>57</v>
      </c>
      <c r="B76" s="297">
        <v>45901</v>
      </c>
      <c r="C76" s="296">
        <f t="shared" si="4"/>
        <v>10000</v>
      </c>
      <c r="D76" s="296">
        <f t="shared" si="1"/>
        <v>198</v>
      </c>
      <c r="E76" s="296">
        <f t="shared" si="2"/>
        <v>9802</v>
      </c>
      <c r="F76" s="296">
        <f t="shared" si="3"/>
        <v>29703</v>
      </c>
      <c r="G76" s="302"/>
      <c r="H76" s="301"/>
      <c r="I76" s="303"/>
      <c r="J76" s="304"/>
    </row>
    <row r="77" spans="1:15" s="161" customFormat="1" x14ac:dyDescent="0.3">
      <c r="A77" s="60">
        <v>58</v>
      </c>
      <c r="B77" s="297">
        <v>45931</v>
      </c>
      <c r="C77" s="296">
        <f t="shared" si="4"/>
        <v>10000</v>
      </c>
      <c r="D77" s="296">
        <f t="shared" si="1"/>
        <v>149</v>
      </c>
      <c r="E77" s="296">
        <f t="shared" si="2"/>
        <v>9851</v>
      </c>
      <c r="F77" s="296">
        <f t="shared" si="3"/>
        <v>19852</v>
      </c>
      <c r="G77" s="302"/>
      <c r="H77" s="301"/>
      <c r="I77" s="303"/>
      <c r="J77" s="304"/>
    </row>
    <row r="78" spans="1:15" s="161" customFormat="1" x14ac:dyDescent="0.3">
      <c r="A78" s="60">
        <v>59</v>
      </c>
      <c r="B78" s="297">
        <v>45962</v>
      </c>
      <c r="C78" s="296">
        <f>+C77+1</f>
        <v>10001</v>
      </c>
      <c r="D78" s="296">
        <f t="shared" si="1"/>
        <v>99</v>
      </c>
      <c r="E78" s="296">
        <f t="shared" si="2"/>
        <v>9902</v>
      </c>
      <c r="F78" s="296">
        <f t="shared" si="3"/>
        <v>9950</v>
      </c>
      <c r="G78" s="302"/>
      <c r="H78" s="301"/>
      <c r="I78" s="303"/>
      <c r="J78" s="304"/>
    </row>
    <row r="79" spans="1:15" s="161" customFormat="1" x14ac:dyDescent="0.3">
      <c r="A79" s="60">
        <v>60</v>
      </c>
      <c r="B79" s="298">
        <v>45992</v>
      </c>
      <c r="C79" s="299">
        <v>0</v>
      </c>
      <c r="D79" s="299">
        <v>0</v>
      </c>
      <c r="E79" s="299">
        <v>0</v>
      </c>
      <c r="F79" s="299">
        <v>0</v>
      </c>
      <c r="G79" s="302"/>
      <c r="H79" s="301"/>
      <c r="I79" s="303"/>
      <c r="J79" s="304"/>
    </row>
    <row r="80" spans="1:15" s="280" customFormat="1" x14ac:dyDescent="0.3">
      <c r="A80" s="60"/>
      <c r="B80" s="48"/>
      <c r="C80" s="48"/>
      <c r="D80" s="48"/>
      <c r="E80" s="48"/>
      <c r="F80" s="286"/>
      <c r="G80" s="48"/>
      <c r="H80" s="48"/>
      <c r="I80" s="48"/>
      <c r="K80" s="60"/>
      <c r="L80" s="60"/>
      <c r="M80" s="60"/>
      <c r="N80" s="60"/>
      <c r="O80" s="60"/>
    </row>
    <row r="81" spans="1:15" s="280" customFormat="1" x14ac:dyDescent="0.3">
      <c r="A81" s="60"/>
      <c r="B81" s="48"/>
      <c r="C81" s="48"/>
      <c r="D81" s="48"/>
      <c r="E81" s="48"/>
      <c r="F81" s="286"/>
      <c r="G81" s="48"/>
      <c r="H81" s="48"/>
      <c r="I81" s="48"/>
      <c r="K81" s="60"/>
      <c r="L81" s="60"/>
      <c r="M81" s="60"/>
      <c r="N81" s="60"/>
      <c r="O81" s="60"/>
    </row>
    <row r="82" spans="1:15" s="280" customFormat="1" x14ac:dyDescent="0.3">
      <c r="A82" s="60"/>
      <c r="B82" s="48"/>
      <c r="C82" s="48"/>
      <c r="D82" s="48"/>
      <c r="E82" s="48"/>
      <c r="F82" s="286"/>
      <c r="G82" s="48"/>
      <c r="H82" s="48"/>
      <c r="I82" s="48"/>
      <c r="K82" s="60"/>
      <c r="L82" s="60"/>
      <c r="M82" s="60"/>
      <c r="N82" s="60"/>
      <c r="O82" s="60"/>
    </row>
    <row r="83" spans="1:15" s="280" customFormat="1" x14ac:dyDescent="0.3">
      <c r="A83" s="60"/>
      <c r="B83" s="48"/>
      <c r="C83" s="48"/>
      <c r="D83" s="48"/>
      <c r="E83" s="48"/>
      <c r="F83" s="286"/>
      <c r="G83" s="48"/>
      <c r="H83" s="48"/>
      <c r="I83" s="48"/>
      <c r="K83" s="60"/>
      <c r="L83" s="60"/>
      <c r="M83" s="60"/>
      <c r="N83" s="60"/>
      <c r="O83" s="60"/>
    </row>
    <row r="84" spans="1:15" s="280" customFormat="1" x14ac:dyDescent="0.3">
      <c r="A84" s="60"/>
      <c r="B84" s="48"/>
      <c r="C84" s="48"/>
      <c r="D84" s="48"/>
      <c r="E84" s="48"/>
      <c r="F84" s="286"/>
      <c r="G84" s="48"/>
      <c r="H84" s="48"/>
      <c r="I84" s="48"/>
      <c r="K84" s="60"/>
      <c r="L84" s="60"/>
      <c r="M84" s="60"/>
      <c r="N84" s="60"/>
      <c r="O84" s="60"/>
    </row>
    <row r="85" spans="1:15" s="280" customFormat="1" x14ac:dyDescent="0.3">
      <c r="A85" s="60"/>
      <c r="B85" s="48"/>
      <c r="C85" s="48"/>
      <c r="D85" s="48"/>
      <c r="E85" s="48"/>
      <c r="F85" s="286"/>
      <c r="G85" s="48"/>
      <c r="H85" s="48"/>
      <c r="I85" s="48"/>
      <c r="K85" s="60"/>
      <c r="L85" s="60"/>
      <c r="M85" s="60"/>
      <c r="N85" s="60"/>
      <c r="O85" s="60"/>
    </row>
    <row r="86" spans="1:15" s="280" customFormat="1" x14ac:dyDescent="0.3">
      <c r="A86" s="60"/>
      <c r="B86" s="48"/>
      <c r="C86" s="48"/>
      <c r="D86" s="48"/>
      <c r="E86" s="48"/>
      <c r="F86" s="286"/>
      <c r="G86" s="48"/>
      <c r="H86" s="48"/>
      <c r="I86" s="48"/>
      <c r="K86" s="60"/>
      <c r="L86" s="60"/>
      <c r="M86" s="60"/>
      <c r="N86" s="60"/>
      <c r="O86" s="60"/>
    </row>
    <row r="87" spans="1:15" s="280" customFormat="1" x14ac:dyDescent="0.3">
      <c r="A87" s="60"/>
      <c r="B87" s="48"/>
      <c r="C87" s="48"/>
      <c r="D87" s="48"/>
      <c r="E87" s="48"/>
      <c r="F87" s="286"/>
      <c r="G87" s="48"/>
      <c r="H87" s="48"/>
      <c r="I87" s="48"/>
      <c r="K87" s="60"/>
      <c r="L87" s="60"/>
      <c r="M87" s="60"/>
      <c r="N87" s="60"/>
      <c r="O87" s="60"/>
    </row>
    <row r="88" spans="1:15" s="280" customFormat="1" x14ac:dyDescent="0.3">
      <c r="A88" s="60"/>
      <c r="B88" s="48"/>
      <c r="C88" s="48"/>
      <c r="D88" s="48"/>
      <c r="E88" s="48"/>
      <c r="F88" s="286"/>
      <c r="G88" s="48"/>
      <c r="H88" s="48"/>
      <c r="I88" s="48"/>
      <c r="K88" s="60"/>
      <c r="L88" s="60"/>
      <c r="M88" s="60"/>
      <c r="N88" s="60"/>
      <c r="O88" s="60"/>
    </row>
    <row r="89" spans="1:15" s="280" customFormat="1" x14ac:dyDescent="0.3">
      <c r="A89" s="60"/>
      <c r="B89" s="48"/>
      <c r="C89" s="48"/>
      <c r="D89" s="48"/>
      <c r="E89" s="48"/>
      <c r="F89" s="286"/>
      <c r="G89" s="48"/>
      <c r="H89" s="48"/>
      <c r="I89" s="48"/>
      <c r="K89" s="60"/>
      <c r="L89" s="60"/>
      <c r="M89" s="60"/>
      <c r="N89" s="60"/>
      <c r="O89" s="60"/>
    </row>
    <row r="90" spans="1:15" s="280" customFormat="1" x14ac:dyDescent="0.3">
      <c r="A90" s="60"/>
      <c r="B90" s="48"/>
      <c r="C90" s="48"/>
      <c r="D90" s="48"/>
      <c r="E90" s="48"/>
      <c r="F90" s="286"/>
      <c r="G90" s="48"/>
      <c r="H90" s="48"/>
      <c r="I90" s="48"/>
      <c r="K90" s="60"/>
      <c r="L90" s="60"/>
      <c r="M90" s="60"/>
      <c r="N90" s="60"/>
      <c r="O90" s="60"/>
    </row>
    <row r="91" spans="1:15" s="280" customFormat="1" x14ac:dyDescent="0.3">
      <c r="A91" s="60"/>
      <c r="B91" s="48"/>
      <c r="C91" s="48"/>
      <c r="D91" s="48"/>
      <c r="E91" s="48"/>
      <c r="F91" s="286"/>
      <c r="G91" s="48"/>
      <c r="H91" s="48"/>
      <c r="I91" s="48"/>
      <c r="K91" s="60"/>
      <c r="L91" s="60"/>
      <c r="M91" s="60"/>
      <c r="N91" s="60"/>
      <c r="O91" s="60"/>
    </row>
    <row r="92" spans="1:15" s="280" customFormat="1" x14ac:dyDescent="0.3">
      <c r="A92" s="60"/>
      <c r="B92" s="48"/>
      <c r="C92" s="48"/>
      <c r="D92" s="48"/>
      <c r="E92" s="48"/>
      <c r="F92" s="286"/>
      <c r="G92" s="48"/>
      <c r="H92" s="48"/>
      <c r="I92" s="48"/>
      <c r="K92" s="60"/>
      <c r="L92" s="60"/>
      <c r="M92" s="60"/>
      <c r="N92" s="60"/>
      <c r="O92" s="60"/>
    </row>
    <row r="93" spans="1:15" s="280" customFormat="1" x14ac:dyDescent="0.3">
      <c r="A93" s="60"/>
      <c r="B93" s="48"/>
      <c r="C93" s="48"/>
      <c r="D93" s="48"/>
      <c r="E93" s="48"/>
      <c r="F93" s="286"/>
      <c r="G93" s="48"/>
      <c r="H93" s="48"/>
      <c r="I93" s="48"/>
      <c r="K93" s="60"/>
      <c r="L93" s="60"/>
      <c r="M93" s="60"/>
      <c r="N93" s="60"/>
      <c r="O93" s="60"/>
    </row>
    <row r="94" spans="1:15" s="280" customFormat="1" x14ac:dyDescent="0.3">
      <c r="A94" s="60"/>
      <c r="B94" s="48"/>
      <c r="C94" s="48"/>
      <c r="D94" s="48"/>
      <c r="E94" s="48"/>
      <c r="F94" s="286"/>
      <c r="G94" s="48"/>
      <c r="H94" s="48"/>
      <c r="I94" s="48"/>
      <c r="K94" s="60"/>
      <c r="L94" s="60"/>
      <c r="M94" s="60"/>
      <c r="N94" s="60"/>
      <c r="O94" s="60"/>
    </row>
    <row r="95" spans="1:15" s="280" customFormat="1" x14ac:dyDescent="0.3">
      <c r="A95" s="60"/>
      <c r="B95" s="48"/>
      <c r="C95" s="48"/>
      <c r="D95" s="48"/>
      <c r="E95" s="48"/>
      <c r="F95" s="286"/>
      <c r="G95" s="48"/>
      <c r="H95" s="48"/>
      <c r="I95" s="48"/>
      <c r="K95" s="60"/>
      <c r="L95" s="60"/>
      <c r="M95" s="60"/>
      <c r="N95" s="60"/>
      <c r="O95" s="60"/>
    </row>
    <row r="96" spans="1:15" s="280" customFormat="1" x14ac:dyDescent="0.3">
      <c r="A96" s="60"/>
      <c r="B96" s="48"/>
      <c r="C96" s="48"/>
      <c r="D96" s="48"/>
      <c r="E96" s="48"/>
      <c r="F96" s="286"/>
      <c r="G96" s="48"/>
      <c r="H96" s="48"/>
      <c r="I96" s="48"/>
      <c r="K96" s="60"/>
      <c r="L96" s="60"/>
      <c r="M96" s="60"/>
      <c r="N96" s="60"/>
      <c r="O96" s="60"/>
    </row>
    <row r="97" spans="1:15" s="280" customFormat="1" x14ac:dyDescent="0.3">
      <c r="A97" s="60"/>
      <c r="B97" s="48"/>
      <c r="C97" s="48"/>
      <c r="D97" s="48"/>
      <c r="E97" s="48"/>
      <c r="F97" s="286"/>
      <c r="G97" s="48"/>
      <c r="H97" s="48"/>
      <c r="I97" s="48"/>
      <c r="K97" s="60"/>
      <c r="L97" s="60"/>
      <c r="M97" s="60"/>
      <c r="N97" s="60"/>
      <c r="O97" s="60"/>
    </row>
    <row r="98" spans="1:15" s="280" customFormat="1" x14ac:dyDescent="0.3">
      <c r="A98" s="60"/>
      <c r="B98" s="48"/>
      <c r="C98" s="48"/>
      <c r="D98" s="48"/>
      <c r="E98" s="48"/>
      <c r="F98" s="286"/>
      <c r="G98" s="48"/>
      <c r="H98" s="48"/>
      <c r="I98" s="48"/>
      <c r="K98" s="60"/>
      <c r="L98" s="60"/>
      <c r="M98" s="60"/>
      <c r="N98" s="60"/>
      <c r="O98" s="60"/>
    </row>
    <row r="99" spans="1:15" s="280" customFormat="1" x14ac:dyDescent="0.3">
      <c r="A99" s="60"/>
      <c r="B99" s="48"/>
      <c r="C99" s="48"/>
      <c r="D99" s="48"/>
      <c r="E99" s="48"/>
      <c r="F99" s="286"/>
      <c r="G99" s="48"/>
      <c r="H99" s="48"/>
      <c r="I99" s="48"/>
      <c r="K99" s="60"/>
      <c r="L99" s="60"/>
      <c r="M99" s="60"/>
      <c r="N99" s="60"/>
      <c r="O99" s="60"/>
    </row>
    <row r="100" spans="1:15" s="280" customFormat="1" x14ac:dyDescent="0.3">
      <c r="A100" s="60"/>
      <c r="B100" s="48"/>
      <c r="C100" s="48"/>
      <c r="D100" s="48"/>
      <c r="E100" s="48"/>
      <c r="F100" s="286"/>
      <c r="G100" s="48"/>
      <c r="H100" s="48"/>
      <c r="I100" s="48"/>
      <c r="K100" s="60"/>
      <c r="L100" s="60"/>
      <c r="M100" s="60"/>
      <c r="N100" s="60"/>
      <c r="O100" s="60"/>
    </row>
    <row r="101" spans="1:15" s="280" customFormat="1" x14ac:dyDescent="0.3">
      <c r="A101" s="60"/>
      <c r="B101" s="48"/>
      <c r="C101" s="48"/>
      <c r="D101" s="48"/>
      <c r="E101" s="48"/>
      <c r="F101" s="286"/>
      <c r="G101" s="48"/>
      <c r="H101" s="48"/>
      <c r="I101" s="48"/>
      <c r="K101" s="60"/>
      <c r="L101" s="60"/>
      <c r="M101" s="60"/>
      <c r="N101" s="60"/>
      <c r="O101" s="60"/>
    </row>
    <row r="102" spans="1:15" s="280" customFormat="1" x14ac:dyDescent="0.3">
      <c r="A102" s="60"/>
      <c r="B102" s="48"/>
      <c r="C102" s="48"/>
      <c r="D102" s="48"/>
      <c r="E102" s="48"/>
      <c r="F102" s="286"/>
      <c r="G102" s="48"/>
      <c r="H102" s="48"/>
      <c r="I102" s="48"/>
      <c r="K102" s="60"/>
      <c r="L102" s="60"/>
      <c r="M102" s="60"/>
      <c r="N102" s="60"/>
      <c r="O102" s="60"/>
    </row>
    <row r="103" spans="1:15" s="280" customFormat="1" x14ac:dyDescent="0.3">
      <c r="A103" s="60"/>
      <c r="B103" s="48"/>
      <c r="C103" s="48"/>
      <c r="D103" s="48"/>
      <c r="E103" s="48"/>
      <c r="F103" s="286"/>
      <c r="G103" s="48"/>
      <c r="H103" s="48"/>
      <c r="I103" s="48"/>
      <c r="K103" s="60"/>
      <c r="L103" s="60"/>
      <c r="M103" s="60"/>
      <c r="N103" s="60"/>
      <c r="O103" s="60"/>
    </row>
    <row r="104" spans="1:15" s="280" customFormat="1" x14ac:dyDescent="0.3">
      <c r="A104" s="60"/>
      <c r="B104" s="48"/>
      <c r="C104" s="48"/>
      <c r="D104" s="48"/>
      <c r="E104" s="48"/>
      <c r="F104" s="286"/>
      <c r="G104" s="48"/>
      <c r="H104" s="48"/>
      <c r="I104" s="48"/>
      <c r="K104" s="60"/>
      <c r="L104" s="60"/>
      <c r="M104" s="60"/>
      <c r="N104" s="60"/>
      <c r="O104" s="60"/>
    </row>
    <row r="105" spans="1:15" s="280" customFormat="1" x14ac:dyDescent="0.3">
      <c r="A105" s="60"/>
      <c r="B105" s="48"/>
      <c r="C105" s="48"/>
      <c r="D105" s="48"/>
      <c r="E105" s="48"/>
      <c r="F105" s="286"/>
      <c r="G105" s="48"/>
      <c r="H105" s="48"/>
      <c r="I105" s="48"/>
      <c r="K105" s="60"/>
      <c r="L105" s="60"/>
      <c r="M105" s="60"/>
      <c r="N105" s="60"/>
      <c r="O105" s="60"/>
    </row>
    <row r="106" spans="1:15" s="280" customFormat="1" x14ac:dyDescent="0.3">
      <c r="A106" s="60"/>
      <c r="B106" s="48"/>
      <c r="C106" s="48"/>
      <c r="D106" s="48"/>
      <c r="E106" s="48"/>
      <c r="F106" s="286"/>
      <c r="G106" s="48"/>
      <c r="H106" s="48"/>
      <c r="I106" s="48"/>
      <c r="K106" s="60"/>
      <c r="L106" s="60"/>
      <c r="M106" s="60"/>
      <c r="N106" s="60"/>
      <c r="O106" s="60"/>
    </row>
    <row r="107" spans="1:15" s="280" customFormat="1" x14ac:dyDescent="0.3">
      <c r="A107" s="60"/>
      <c r="B107" s="48"/>
      <c r="C107" s="48"/>
      <c r="D107" s="48"/>
      <c r="E107" s="48"/>
      <c r="F107" s="286"/>
      <c r="G107" s="48"/>
      <c r="H107" s="48"/>
      <c r="I107" s="48"/>
      <c r="K107" s="60"/>
      <c r="L107" s="60"/>
      <c r="M107" s="60"/>
      <c r="N107" s="60"/>
      <c r="O107" s="60"/>
    </row>
    <row r="108" spans="1:15" s="280" customFormat="1" x14ac:dyDescent="0.3">
      <c r="A108" s="60"/>
      <c r="B108" s="48"/>
      <c r="C108" s="48"/>
      <c r="D108" s="48"/>
      <c r="E108" s="48"/>
      <c r="F108" s="286"/>
      <c r="G108" s="48"/>
      <c r="H108" s="48"/>
      <c r="I108" s="48"/>
      <c r="K108" s="60"/>
      <c r="L108" s="60"/>
      <c r="M108" s="60"/>
      <c r="N108" s="60"/>
      <c r="O108" s="60"/>
    </row>
    <row r="109" spans="1:15" s="280" customFormat="1" x14ac:dyDescent="0.3">
      <c r="A109" s="60"/>
      <c r="B109" s="48"/>
      <c r="C109" s="48"/>
      <c r="D109" s="48"/>
      <c r="E109" s="48"/>
      <c r="F109" s="286"/>
      <c r="G109" s="48"/>
      <c r="H109" s="48"/>
      <c r="I109" s="48"/>
      <c r="K109" s="60"/>
      <c r="L109" s="60"/>
      <c r="M109" s="60"/>
      <c r="N109" s="60"/>
      <c r="O109" s="60"/>
    </row>
    <row r="110" spans="1:15" s="280" customFormat="1" x14ac:dyDescent="0.3">
      <c r="A110" s="60"/>
      <c r="B110" s="48"/>
      <c r="C110" s="48"/>
      <c r="D110" s="48"/>
      <c r="E110" s="48"/>
      <c r="F110" s="286"/>
      <c r="G110" s="48"/>
      <c r="H110" s="48"/>
      <c r="I110" s="48"/>
      <c r="K110" s="60"/>
      <c r="L110" s="60"/>
      <c r="M110" s="60"/>
      <c r="N110" s="60"/>
      <c r="O110" s="60"/>
    </row>
    <row r="111" spans="1:15" s="280" customFormat="1" x14ac:dyDescent="0.3">
      <c r="A111" s="60"/>
      <c r="B111" s="48"/>
      <c r="C111" s="48"/>
      <c r="D111" s="48"/>
      <c r="E111" s="48"/>
      <c r="F111" s="286"/>
      <c r="G111" s="48"/>
      <c r="H111" s="48"/>
      <c r="I111" s="48"/>
      <c r="K111" s="60"/>
      <c r="L111" s="60"/>
      <c r="M111" s="60"/>
      <c r="N111" s="60"/>
      <c r="O111" s="60"/>
    </row>
    <row r="112" spans="1:15" s="280" customFormat="1" x14ac:dyDescent="0.3">
      <c r="A112" s="60"/>
      <c r="B112" s="48"/>
      <c r="C112" s="48"/>
      <c r="D112" s="48"/>
      <c r="E112" s="48"/>
      <c r="F112" s="286"/>
      <c r="G112" s="48"/>
      <c r="H112" s="48"/>
      <c r="I112" s="48"/>
      <c r="K112" s="60"/>
      <c r="L112" s="60"/>
      <c r="M112" s="60"/>
      <c r="N112" s="60"/>
      <c r="O112" s="60"/>
    </row>
    <row r="113" spans="1:15" s="280" customFormat="1" x14ac:dyDescent="0.3">
      <c r="A113" s="60"/>
      <c r="B113" s="48"/>
      <c r="C113" s="48"/>
      <c r="D113" s="48"/>
      <c r="E113" s="48"/>
      <c r="F113" s="286"/>
      <c r="G113" s="48"/>
      <c r="H113" s="48"/>
      <c r="I113" s="48"/>
      <c r="K113" s="60"/>
      <c r="L113" s="60"/>
      <c r="M113" s="60"/>
      <c r="N113" s="60"/>
      <c r="O113" s="60"/>
    </row>
    <row r="114" spans="1:15" s="280" customFormat="1" x14ac:dyDescent="0.3">
      <c r="A114" s="60"/>
      <c r="B114" s="48"/>
      <c r="C114" s="48"/>
      <c r="D114" s="48"/>
      <c r="E114" s="48"/>
      <c r="F114" s="286"/>
      <c r="G114" s="48"/>
      <c r="H114" s="48"/>
      <c r="I114" s="48"/>
      <c r="K114" s="60"/>
      <c r="L114" s="60"/>
      <c r="M114" s="60"/>
      <c r="N114" s="60"/>
      <c r="O114" s="60"/>
    </row>
    <row r="115" spans="1:15" s="280" customFormat="1" x14ac:dyDescent="0.3">
      <c r="A115" s="60"/>
      <c r="B115" s="48"/>
      <c r="C115" s="48"/>
      <c r="D115" s="48"/>
      <c r="E115" s="48"/>
      <c r="F115" s="286"/>
      <c r="G115" s="48"/>
      <c r="H115" s="48"/>
      <c r="I115" s="48"/>
      <c r="K115" s="60"/>
      <c r="L115" s="60"/>
      <c r="M115" s="60"/>
      <c r="N115" s="60"/>
      <c r="O115" s="60"/>
    </row>
    <row r="116" spans="1:15" s="280" customFormat="1" x14ac:dyDescent="0.3">
      <c r="A116" s="60"/>
      <c r="B116" s="48"/>
      <c r="C116" s="48"/>
      <c r="D116" s="48"/>
      <c r="E116" s="48"/>
      <c r="F116" s="286"/>
      <c r="G116" s="48"/>
      <c r="H116" s="48"/>
      <c r="I116" s="48"/>
      <c r="K116" s="60"/>
      <c r="L116" s="60"/>
      <c r="M116" s="60"/>
      <c r="N116" s="60"/>
      <c r="O116" s="60"/>
    </row>
    <row r="117" spans="1:15" s="280" customFormat="1" x14ac:dyDescent="0.3">
      <c r="A117" s="60"/>
      <c r="B117" s="48"/>
      <c r="C117" s="48"/>
      <c r="D117" s="48"/>
      <c r="E117" s="48"/>
      <c r="F117" s="286"/>
      <c r="G117" s="48"/>
      <c r="H117" s="48"/>
      <c r="I117" s="48"/>
      <c r="K117" s="60"/>
      <c r="L117" s="60"/>
      <c r="M117" s="60"/>
      <c r="N117" s="60"/>
      <c r="O117" s="60"/>
    </row>
    <row r="118" spans="1:15" s="280" customFormat="1" x14ac:dyDescent="0.3">
      <c r="A118" s="60"/>
      <c r="B118" s="48"/>
      <c r="C118" s="48"/>
      <c r="D118" s="48"/>
      <c r="E118" s="48"/>
      <c r="F118" s="286"/>
      <c r="G118" s="48"/>
      <c r="H118" s="48"/>
      <c r="I118" s="48"/>
      <c r="K118" s="60"/>
      <c r="L118" s="60"/>
      <c r="M118" s="60"/>
      <c r="N118" s="60"/>
      <c r="O118" s="60"/>
    </row>
    <row r="119" spans="1:15" s="280" customFormat="1" x14ac:dyDescent="0.3">
      <c r="A119" s="60"/>
      <c r="B119" s="48"/>
      <c r="C119" s="48"/>
      <c r="D119" s="48"/>
      <c r="E119" s="48"/>
      <c r="F119" s="286"/>
      <c r="G119" s="48"/>
      <c r="H119" s="48"/>
      <c r="I119" s="48"/>
      <c r="K119" s="60"/>
      <c r="L119" s="60"/>
      <c r="M119" s="60"/>
      <c r="N119" s="60"/>
      <c r="O119" s="60"/>
    </row>
    <row r="120" spans="1:15" s="280" customFormat="1" x14ac:dyDescent="0.3">
      <c r="A120" s="60"/>
      <c r="B120" s="48"/>
      <c r="C120" s="48"/>
      <c r="D120" s="48"/>
      <c r="E120" s="48"/>
      <c r="F120" s="286"/>
      <c r="G120" s="48"/>
      <c r="H120" s="48"/>
      <c r="I120" s="48"/>
      <c r="K120" s="60"/>
      <c r="L120" s="60"/>
      <c r="M120" s="60"/>
      <c r="N120" s="60"/>
      <c r="O120" s="60"/>
    </row>
    <row r="121" spans="1:15" s="280" customFormat="1" x14ac:dyDescent="0.3">
      <c r="A121" s="60"/>
      <c r="B121" s="48"/>
      <c r="C121" s="48"/>
      <c r="D121" s="48"/>
      <c r="E121" s="48"/>
      <c r="F121" s="286"/>
      <c r="G121" s="48"/>
      <c r="H121" s="48"/>
      <c r="I121" s="48"/>
      <c r="K121" s="60"/>
      <c r="L121" s="60"/>
      <c r="M121" s="60"/>
      <c r="N121" s="60"/>
      <c r="O121" s="60"/>
    </row>
    <row r="122" spans="1:15" s="280" customFormat="1" x14ac:dyDescent="0.3">
      <c r="A122" s="60"/>
      <c r="B122" s="48"/>
      <c r="C122" s="48"/>
      <c r="D122" s="48"/>
      <c r="E122" s="48"/>
      <c r="F122" s="286"/>
      <c r="G122" s="48"/>
      <c r="H122" s="48"/>
      <c r="I122" s="48"/>
      <c r="K122" s="60"/>
      <c r="L122" s="60"/>
      <c r="M122" s="60"/>
      <c r="N122" s="60"/>
      <c r="O122" s="60"/>
    </row>
    <row r="123" spans="1:15" s="280" customFormat="1" x14ac:dyDescent="0.3">
      <c r="A123" s="60"/>
      <c r="B123" s="48"/>
      <c r="C123" s="48"/>
      <c r="D123" s="48"/>
      <c r="E123" s="48"/>
      <c r="F123" s="286"/>
      <c r="G123" s="48"/>
      <c r="H123" s="48"/>
      <c r="I123" s="48"/>
      <c r="K123" s="60"/>
      <c r="L123" s="60"/>
      <c r="M123" s="60"/>
      <c r="N123" s="60"/>
      <c r="O123" s="60"/>
    </row>
    <row r="124" spans="1:15" s="280" customFormat="1" x14ac:dyDescent="0.3">
      <c r="A124" s="60"/>
      <c r="B124" s="48"/>
      <c r="C124" s="48"/>
      <c r="D124" s="48"/>
      <c r="E124" s="48"/>
      <c r="F124" s="286"/>
      <c r="G124" s="48"/>
      <c r="H124" s="48"/>
      <c r="I124" s="48"/>
      <c r="K124" s="60"/>
      <c r="L124" s="60"/>
      <c r="M124" s="60"/>
      <c r="N124" s="60"/>
      <c r="O124" s="60"/>
    </row>
    <row r="125" spans="1:15" s="280" customFormat="1" x14ac:dyDescent="0.3">
      <c r="A125" s="60"/>
      <c r="B125" s="48"/>
      <c r="C125" s="48"/>
      <c r="D125" s="48"/>
      <c r="E125" s="48"/>
      <c r="F125" s="286"/>
      <c r="G125" s="48"/>
      <c r="H125" s="48"/>
      <c r="I125" s="48"/>
      <c r="K125" s="60"/>
      <c r="L125" s="60"/>
      <c r="M125" s="60"/>
      <c r="N125" s="60"/>
      <c r="O125" s="60"/>
    </row>
    <row r="126" spans="1:15" s="280" customFormat="1" x14ac:dyDescent="0.3">
      <c r="A126" s="60"/>
      <c r="B126" s="48"/>
      <c r="C126" s="48"/>
      <c r="D126" s="48"/>
      <c r="E126" s="48"/>
      <c r="F126" s="286"/>
      <c r="G126" s="48"/>
      <c r="H126" s="48"/>
      <c r="I126" s="48"/>
      <c r="K126" s="60"/>
      <c r="L126" s="60"/>
      <c r="M126" s="60"/>
      <c r="N126" s="60"/>
      <c r="O126" s="60"/>
    </row>
    <row r="127" spans="1:15" s="280" customFormat="1" x14ac:dyDescent="0.3">
      <c r="A127" s="60"/>
      <c r="B127" s="48"/>
      <c r="C127" s="48"/>
      <c r="D127" s="48"/>
      <c r="E127" s="48"/>
      <c r="F127" s="286"/>
      <c r="G127" s="48"/>
      <c r="H127" s="48"/>
      <c r="I127" s="48"/>
      <c r="K127" s="60"/>
      <c r="L127" s="60"/>
      <c r="M127" s="60"/>
      <c r="N127" s="60"/>
      <c r="O127" s="60"/>
    </row>
    <row r="128" spans="1:15" s="280" customFormat="1" x14ac:dyDescent="0.3">
      <c r="A128" s="60"/>
      <c r="B128" s="48"/>
      <c r="C128" s="48"/>
      <c r="D128" s="48"/>
      <c r="E128" s="48"/>
      <c r="F128" s="286"/>
      <c r="G128" s="48"/>
      <c r="H128" s="48"/>
      <c r="I128" s="48"/>
      <c r="K128" s="60"/>
      <c r="L128" s="60"/>
      <c r="M128" s="60"/>
      <c r="N128" s="60"/>
      <c r="O128" s="60"/>
    </row>
    <row r="129" spans="1:15" s="280" customFormat="1" x14ac:dyDescent="0.3">
      <c r="A129" s="60"/>
      <c r="B129" s="48"/>
      <c r="C129" s="48"/>
      <c r="D129" s="48"/>
      <c r="E129" s="48"/>
      <c r="F129" s="286"/>
      <c r="G129" s="48"/>
      <c r="H129" s="48"/>
      <c r="I129" s="48"/>
      <c r="K129" s="60"/>
      <c r="L129" s="60"/>
      <c r="M129" s="60"/>
      <c r="N129" s="60"/>
      <c r="O129" s="60"/>
    </row>
    <row r="130" spans="1:15" s="280" customFormat="1" x14ac:dyDescent="0.3">
      <c r="A130" s="60"/>
      <c r="B130" s="48"/>
      <c r="C130" s="48"/>
      <c r="D130" s="48"/>
      <c r="E130" s="48"/>
      <c r="F130" s="286"/>
      <c r="G130" s="48"/>
      <c r="H130" s="48"/>
      <c r="I130" s="48"/>
      <c r="K130" s="60"/>
      <c r="L130" s="60"/>
      <c r="M130" s="60"/>
      <c r="N130" s="60"/>
      <c r="O130" s="60"/>
    </row>
    <row r="131" spans="1:15" s="280" customFormat="1" x14ac:dyDescent="0.3">
      <c r="A131" s="60"/>
      <c r="B131" s="48"/>
      <c r="C131" s="48"/>
      <c r="D131" s="48"/>
      <c r="E131" s="48"/>
      <c r="F131" s="286"/>
      <c r="G131" s="48"/>
      <c r="H131" s="48"/>
      <c r="I131" s="48"/>
      <c r="K131" s="60"/>
      <c r="L131" s="60"/>
      <c r="M131" s="60"/>
      <c r="N131" s="60"/>
      <c r="O131" s="60"/>
    </row>
    <row r="132" spans="1:15" s="280" customFormat="1" x14ac:dyDescent="0.3">
      <c r="A132" s="60"/>
      <c r="B132" s="48"/>
      <c r="C132" s="48"/>
      <c r="D132" s="48"/>
      <c r="E132" s="48"/>
      <c r="F132" s="286"/>
      <c r="G132" s="48"/>
      <c r="H132" s="48"/>
      <c r="I132" s="48"/>
      <c r="K132" s="60"/>
      <c r="L132" s="60"/>
      <c r="M132" s="60"/>
      <c r="N132" s="60"/>
      <c r="O132" s="60"/>
    </row>
    <row r="133" spans="1:15" s="280" customFormat="1" x14ac:dyDescent="0.3">
      <c r="A133" s="60"/>
      <c r="B133" s="48"/>
      <c r="C133" s="48"/>
      <c r="D133" s="48"/>
      <c r="E133" s="48"/>
      <c r="F133" s="286"/>
      <c r="G133" s="48"/>
      <c r="H133" s="48"/>
      <c r="I133" s="48"/>
      <c r="K133" s="60"/>
      <c r="L133" s="60"/>
      <c r="M133" s="60"/>
      <c r="N133" s="60"/>
      <c r="O133" s="60"/>
    </row>
    <row r="134" spans="1:15" s="280" customFormat="1" x14ac:dyDescent="0.3">
      <c r="A134" s="60"/>
      <c r="B134" s="48"/>
      <c r="C134" s="48"/>
      <c r="D134" s="48"/>
      <c r="E134" s="48"/>
      <c r="F134" s="286"/>
      <c r="G134" s="48"/>
      <c r="H134" s="48"/>
      <c r="I134" s="48"/>
      <c r="K134" s="60"/>
      <c r="L134" s="60"/>
      <c r="M134" s="60"/>
      <c r="N134" s="60"/>
      <c r="O134" s="60"/>
    </row>
    <row r="135" spans="1:15" s="280" customFormat="1" x14ac:dyDescent="0.3">
      <c r="A135" s="60"/>
      <c r="B135" s="48"/>
      <c r="C135" s="48"/>
      <c r="D135" s="48"/>
      <c r="E135" s="48"/>
      <c r="F135" s="286"/>
      <c r="G135" s="48"/>
      <c r="H135" s="48"/>
      <c r="I135" s="48"/>
      <c r="K135" s="60"/>
      <c r="L135" s="60"/>
      <c r="M135" s="60"/>
      <c r="N135" s="60"/>
      <c r="O135" s="60"/>
    </row>
    <row r="136" spans="1:15" s="280" customFormat="1" x14ac:dyDescent="0.3">
      <c r="A136" s="60"/>
      <c r="B136" s="48"/>
      <c r="C136" s="48"/>
      <c r="D136" s="48"/>
      <c r="E136" s="48"/>
      <c r="F136" s="286"/>
      <c r="G136" s="48"/>
      <c r="H136" s="48"/>
      <c r="I136" s="48"/>
      <c r="K136" s="60"/>
      <c r="L136" s="60"/>
      <c r="M136" s="60"/>
      <c r="N136" s="60"/>
      <c r="O136" s="60"/>
    </row>
    <row r="137" spans="1:15" s="280" customFormat="1" x14ac:dyDescent="0.3">
      <c r="A137" s="60"/>
      <c r="B137" s="48"/>
      <c r="C137" s="48"/>
      <c r="D137" s="48"/>
      <c r="E137" s="48"/>
      <c r="F137" s="286"/>
      <c r="G137" s="48"/>
      <c r="H137" s="48"/>
      <c r="I137" s="48"/>
      <c r="K137" s="60"/>
      <c r="L137" s="60"/>
      <c r="M137" s="60"/>
      <c r="N137" s="60"/>
      <c r="O137" s="60"/>
    </row>
    <row r="138" spans="1:15" s="280" customFormat="1" x14ac:dyDescent="0.3">
      <c r="A138" s="60"/>
      <c r="B138" s="48"/>
      <c r="C138" s="48"/>
      <c r="D138" s="48"/>
      <c r="E138" s="48"/>
      <c r="F138" s="286"/>
      <c r="G138" s="48"/>
      <c r="H138" s="48"/>
      <c r="I138" s="48"/>
      <c r="K138" s="60"/>
      <c r="L138" s="60"/>
      <c r="M138" s="60"/>
      <c r="N138" s="60"/>
      <c r="O138" s="60"/>
    </row>
    <row r="139" spans="1:15" s="280" customFormat="1" x14ac:dyDescent="0.3">
      <c r="A139" s="60"/>
      <c r="B139" s="48"/>
      <c r="C139" s="48"/>
      <c r="D139" s="48"/>
      <c r="E139" s="48"/>
      <c r="F139" s="286"/>
      <c r="G139" s="48"/>
      <c r="H139" s="48"/>
      <c r="I139" s="48"/>
      <c r="K139" s="60"/>
      <c r="L139" s="60"/>
      <c r="M139" s="60"/>
      <c r="N139" s="60"/>
      <c r="O139" s="60"/>
    </row>
    <row r="140" spans="1:15" s="280" customFormat="1" x14ac:dyDescent="0.3">
      <c r="A140" s="60"/>
      <c r="B140" s="48"/>
      <c r="C140" s="48"/>
      <c r="D140" s="48"/>
      <c r="E140" s="48"/>
      <c r="F140" s="286"/>
      <c r="G140" s="48"/>
      <c r="H140" s="48"/>
      <c r="I140" s="48"/>
      <c r="K140" s="60"/>
      <c r="L140" s="60"/>
      <c r="M140" s="60"/>
      <c r="N140" s="60"/>
      <c r="O140" s="60"/>
    </row>
    <row r="141" spans="1:15" s="280" customFormat="1" x14ac:dyDescent="0.3">
      <c r="A141" s="60"/>
      <c r="B141" s="48"/>
      <c r="C141" s="48"/>
      <c r="D141" s="48"/>
      <c r="E141" s="48"/>
      <c r="F141" s="286"/>
      <c r="G141" s="48"/>
      <c r="H141" s="48"/>
      <c r="I141" s="48"/>
      <c r="K141" s="60"/>
      <c r="L141" s="60"/>
      <c r="M141" s="60"/>
      <c r="N141" s="60"/>
      <c r="O141" s="60"/>
    </row>
    <row r="142" spans="1:15" s="280" customFormat="1" x14ac:dyDescent="0.3">
      <c r="A142" s="60"/>
      <c r="B142" s="48"/>
      <c r="C142" s="48"/>
      <c r="D142" s="48"/>
      <c r="E142" s="48"/>
      <c r="F142" s="286"/>
      <c r="G142" s="48"/>
      <c r="H142" s="48"/>
      <c r="I142" s="48"/>
      <c r="K142" s="60"/>
      <c r="L142" s="60"/>
      <c r="M142" s="60"/>
      <c r="N142" s="60"/>
      <c r="O142" s="60"/>
    </row>
    <row r="143" spans="1:15" s="280" customFormat="1" x14ac:dyDescent="0.3">
      <c r="A143" s="60"/>
      <c r="B143" s="48"/>
      <c r="C143" s="48"/>
      <c r="D143" s="48"/>
      <c r="E143" s="48"/>
      <c r="F143" s="286"/>
      <c r="G143" s="48"/>
      <c r="H143" s="48"/>
      <c r="I143" s="48"/>
      <c r="K143" s="60"/>
      <c r="L143" s="60"/>
      <c r="M143" s="60"/>
      <c r="N143" s="60"/>
      <c r="O143" s="60"/>
    </row>
    <row r="144" spans="1:15" s="280" customFormat="1" x14ac:dyDescent="0.3">
      <c r="A144" s="60"/>
      <c r="B144" s="48"/>
      <c r="C144" s="48"/>
      <c r="D144" s="48"/>
      <c r="E144" s="48"/>
      <c r="F144" s="286"/>
      <c r="G144" s="48"/>
      <c r="H144" s="48"/>
      <c r="I144" s="48"/>
      <c r="K144" s="60"/>
      <c r="L144" s="60"/>
      <c r="M144" s="60"/>
      <c r="N144" s="60"/>
      <c r="O144" s="60"/>
    </row>
    <row r="145" spans="1:15" s="280" customFormat="1" x14ac:dyDescent="0.3">
      <c r="A145" s="60"/>
      <c r="B145" s="48"/>
      <c r="C145" s="48"/>
      <c r="D145" s="48"/>
      <c r="E145" s="48"/>
      <c r="F145" s="286"/>
      <c r="G145" s="48"/>
      <c r="H145" s="48"/>
      <c r="I145" s="48"/>
      <c r="K145" s="60"/>
      <c r="L145" s="60"/>
      <c r="M145" s="60"/>
      <c r="N145" s="60"/>
      <c r="O145" s="60"/>
    </row>
    <row r="146" spans="1:15" s="280" customFormat="1" x14ac:dyDescent="0.3">
      <c r="A146" s="60"/>
      <c r="B146" s="48"/>
      <c r="C146" s="48"/>
      <c r="D146" s="48"/>
      <c r="E146" s="48"/>
      <c r="F146" s="286"/>
      <c r="G146" s="48"/>
      <c r="H146" s="48"/>
      <c r="I146" s="48"/>
      <c r="K146" s="60"/>
      <c r="L146" s="60"/>
      <c r="M146" s="60"/>
      <c r="N146" s="60"/>
      <c r="O146" s="60"/>
    </row>
    <row r="147" spans="1:15" s="280" customFormat="1" x14ac:dyDescent="0.3">
      <c r="A147" s="60"/>
      <c r="B147" s="48"/>
      <c r="C147" s="48"/>
      <c r="D147" s="48"/>
      <c r="E147" s="48"/>
      <c r="F147" s="286"/>
      <c r="G147" s="48"/>
      <c r="H147" s="48"/>
      <c r="I147" s="48"/>
      <c r="K147" s="60"/>
      <c r="L147" s="60"/>
      <c r="M147" s="60"/>
      <c r="N147" s="60"/>
      <c r="O147" s="60"/>
    </row>
    <row r="148" spans="1:15" s="280" customFormat="1" x14ac:dyDescent="0.3">
      <c r="A148" s="60"/>
      <c r="B148" s="48"/>
      <c r="C148" s="48"/>
      <c r="D148" s="48"/>
      <c r="E148" s="48"/>
      <c r="F148" s="286"/>
      <c r="G148" s="48"/>
      <c r="H148" s="48"/>
      <c r="I148" s="48"/>
      <c r="K148" s="60"/>
      <c r="L148" s="60"/>
      <c r="M148" s="60"/>
      <c r="N148" s="60"/>
      <c r="O148" s="60"/>
    </row>
    <row r="149" spans="1:15" s="280" customFormat="1" x14ac:dyDescent="0.3">
      <c r="A149" s="60"/>
      <c r="B149" s="48"/>
      <c r="C149" s="48"/>
      <c r="D149" s="48"/>
      <c r="E149" s="48"/>
      <c r="F149" s="286"/>
      <c r="G149" s="48"/>
      <c r="H149" s="48"/>
      <c r="I149" s="48"/>
      <c r="K149" s="60"/>
      <c r="L149" s="60"/>
      <c r="M149" s="60"/>
      <c r="N149" s="60"/>
      <c r="O149" s="60"/>
    </row>
    <row r="150" spans="1:15" s="280" customFormat="1" x14ac:dyDescent="0.3">
      <c r="A150" s="60"/>
      <c r="B150" s="48"/>
      <c r="C150" s="48"/>
      <c r="D150" s="48"/>
      <c r="E150" s="48"/>
      <c r="F150" s="286"/>
      <c r="G150" s="48"/>
      <c r="H150" s="48"/>
      <c r="I150" s="48"/>
      <c r="K150" s="60"/>
      <c r="L150" s="60"/>
      <c r="M150" s="60"/>
      <c r="N150" s="60"/>
      <c r="O150" s="60"/>
    </row>
    <row r="151" spans="1:15" s="280" customFormat="1" x14ac:dyDescent="0.3">
      <c r="A151" s="60"/>
      <c r="B151" s="48"/>
      <c r="C151" s="48"/>
      <c r="D151" s="48"/>
      <c r="E151" s="48"/>
      <c r="F151" s="286"/>
      <c r="G151" s="48"/>
      <c r="H151" s="48"/>
      <c r="I151" s="48"/>
      <c r="K151" s="60"/>
      <c r="L151" s="60"/>
      <c r="M151" s="60"/>
      <c r="N151" s="60"/>
      <c r="O151" s="60"/>
    </row>
    <row r="152" spans="1:15" s="280" customFormat="1" x14ac:dyDescent="0.3">
      <c r="A152" s="60"/>
      <c r="B152" s="48"/>
      <c r="C152" s="48"/>
      <c r="D152" s="48"/>
      <c r="E152" s="48"/>
      <c r="F152" s="286"/>
      <c r="G152" s="48"/>
      <c r="H152" s="48"/>
      <c r="I152" s="48"/>
      <c r="K152" s="60"/>
      <c r="L152" s="60"/>
      <c r="M152" s="60"/>
      <c r="N152" s="60"/>
      <c r="O152" s="60"/>
    </row>
    <row r="153" spans="1:15" s="280" customFormat="1" x14ac:dyDescent="0.3">
      <c r="A153" s="60"/>
      <c r="B153" s="48"/>
      <c r="C153" s="48"/>
      <c r="D153" s="48"/>
      <c r="E153" s="48"/>
      <c r="F153" s="286"/>
      <c r="G153" s="48"/>
      <c r="H153" s="48"/>
      <c r="I153" s="48"/>
      <c r="K153" s="60"/>
      <c r="L153" s="60"/>
      <c r="M153" s="60"/>
      <c r="N153" s="60"/>
      <c r="O153" s="60"/>
    </row>
    <row r="154" spans="1:15" s="280" customFormat="1" x14ac:dyDescent="0.3">
      <c r="A154" s="60"/>
      <c r="B154" s="48"/>
      <c r="C154" s="48"/>
      <c r="D154" s="48"/>
      <c r="E154" s="48"/>
      <c r="F154" s="286"/>
      <c r="G154" s="48"/>
      <c r="H154" s="48"/>
      <c r="I154" s="48"/>
      <c r="K154" s="60"/>
      <c r="L154" s="60"/>
      <c r="M154" s="60"/>
      <c r="N154" s="60"/>
      <c r="O154" s="60"/>
    </row>
    <row r="155" spans="1:15" s="280" customFormat="1" x14ac:dyDescent="0.3">
      <c r="A155" s="60"/>
      <c r="B155" s="48"/>
      <c r="C155" s="48"/>
      <c r="D155" s="48"/>
      <c r="E155" s="48"/>
      <c r="F155" s="286"/>
      <c r="G155" s="48"/>
      <c r="H155" s="48"/>
      <c r="I155" s="48"/>
      <c r="K155" s="60"/>
      <c r="L155" s="60"/>
      <c r="M155" s="60"/>
      <c r="N155" s="60"/>
      <c r="O155" s="60"/>
    </row>
    <row r="156" spans="1:15" s="280" customFormat="1" x14ac:dyDescent="0.3">
      <c r="A156" s="60"/>
      <c r="B156" s="48"/>
      <c r="C156" s="48"/>
      <c r="D156" s="48"/>
      <c r="E156" s="48"/>
      <c r="F156" s="286"/>
      <c r="G156" s="48"/>
      <c r="H156" s="48"/>
      <c r="I156" s="48"/>
      <c r="K156" s="60"/>
      <c r="L156" s="60"/>
      <c r="M156" s="60"/>
      <c r="N156" s="60"/>
      <c r="O156" s="60"/>
    </row>
    <row r="157" spans="1:15" s="280" customFormat="1" x14ac:dyDescent="0.3">
      <c r="A157" s="60"/>
      <c r="B157" s="48"/>
      <c r="C157" s="48"/>
      <c r="D157" s="48"/>
      <c r="E157" s="48"/>
      <c r="F157" s="286"/>
      <c r="G157" s="48"/>
      <c r="H157" s="48"/>
      <c r="I157" s="48"/>
      <c r="K157" s="60"/>
      <c r="L157" s="60"/>
      <c r="M157" s="60"/>
      <c r="N157" s="60"/>
      <c r="O157" s="60"/>
    </row>
    <row r="158" spans="1:15" s="280" customFormat="1" x14ac:dyDescent="0.3">
      <c r="A158" s="60"/>
      <c r="B158" s="48"/>
      <c r="C158" s="48"/>
      <c r="D158" s="48"/>
      <c r="E158" s="48"/>
      <c r="F158" s="286"/>
      <c r="G158" s="48"/>
      <c r="H158" s="48"/>
      <c r="I158" s="48"/>
      <c r="K158" s="60"/>
      <c r="L158" s="60"/>
      <c r="M158" s="60"/>
      <c r="N158" s="60"/>
      <c r="O158" s="60"/>
    </row>
    <row r="159" spans="1:15" s="280" customFormat="1" x14ac:dyDescent="0.3">
      <c r="A159" s="60"/>
      <c r="B159" s="48"/>
      <c r="C159" s="48"/>
      <c r="D159" s="48"/>
      <c r="E159" s="48"/>
      <c r="F159" s="286"/>
      <c r="G159" s="48"/>
      <c r="H159" s="48"/>
      <c r="I159" s="48"/>
      <c r="K159" s="60"/>
      <c r="L159" s="60"/>
      <c r="M159" s="60"/>
      <c r="N159" s="60"/>
      <c r="O159" s="60"/>
    </row>
    <row r="160" spans="1:15" s="280" customFormat="1" x14ac:dyDescent="0.3">
      <c r="A160" s="60"/>
      <c r="B160" s="48"/>
      <c r="C160" s="48"/>
      <c r="D160" s="48"/>
      <c r="E160" s="48"/>
      <c r="F160" s="286"/>
      <c r="G160" s="48"/>
      <c r="H160" s="48"/>
      <c r="I160" s="48"/>
      <c r="K160" s="60"/>
      <c r="L160" s="60"/>
      <c r="M160" s="60"/>
      <c r="N160" s="60"/>
      <c r="O160" s="60"/>
    </row>
    <row r="161" spans="1:15" s="280" customFormat="1" x14ac:dyDescent="0.3">
      <c r="A161" s="60"/>
      <c r="B161" s="48"/>
      <c r="C161" s="48"/>
      <c r="D161" s="48"/>
      <c r="E161" s="48"/>
      <c r="F161" s="286"/>
      <c r="G161" s="48"/>
      <c r="H161" s="48"/>
      <c r="I161" s="48"/>
      <c r="K161" s="60"/>
      <c r="L161" s="60"/>
      <c r="M161" s="60"/>
      <c r="N161" s="60"/>
      <c r="O161" s="60"/>
    </row>
    <row r="162" spans="1:15" s="280" customFormat="1" x14ac:dyDescent="0.3">
      <c r="A162" s="60"/>
      <c r="B162" s="48"/>
      <c r="C162" s="48"/>
      <c r="D162" s="48"/>
      <c r="E162" s="48"/>
      <c r="F162" s="286"/>
      <c r="G162" s="48"/>
      <c r="H162" s="48"/>
      <c r="I162" s="48"/>
      <c r="K162" s="60"/>
      <c r="L162" s="60"/>
      <c r="M162" s="60"/>
      <c r="N162" s="60"/>
      <c r="O162" s="60"/>
    </row>
    <row r="163" spans="1:15" s="280" customFormat="1" x14ac:dyDescent="0.3">
      <c r="A163" s="60"/>
      <c r="B163" s="48"/>
      <c r="C163" s="48"/>
      <c r="D163" s="48"/>
      <c r="E163" s="48"/>
      <c r="F163" s="286"/>
      <c r="G163" s="48"/>
      <c r="H163" s="48"/>
      <c r="I163" s="48"/>
      <c r="K163" s="60"/>
      <c r="L163" s="60"/>
      <c r="M163" s="60"/>
      <c r="N163" s="60"/>
      <c r="O163" s="60"/>
    </row>
    <row r="164" spans="1:15" s="280" customFormat="1" x14ac:dyDescent="0.3">
      <c r="A164" s="60"/>
      <c r="B164" s="48"/>
      <c r="C164" s="48"/>
      <c r="D164" s="48"/>
      <c r="E164" s="48"/>
      <c r="F164" s="286"/>
      <c r="G164" s="48"/>
      <c r="H164" s="48"/>
      <c r="I164" s="48"/>
      <c r="K164" s="60"/>
      <c r="L164" s="60"/>
      <c r="M164" s="60"/>
      <c r="N164" s="60"/>
      <c r="O164" s="60"/>
    </row>
    <row r="165" spans="1:15" s="280" customFormat="1" x14ac:dyDescent="0.3">
      <c r="A165" s="60"/>
      <c r="B165" s="48"/>
      <c r="C165" s="48"/>
      <c r="D165" s="48"/>
      <c r="E165" s="48"/>
      <c r="F165" s="286"/>
      <c r="G165" s="48"/>
      <c r="H165" s="48"/>
      <c r="I165" s="48"/>
      <c r="K165" s="60"/>
      <c r="L165" s="60"/>
      <c r="M165" s="60"/>
      <c r="N165" s="60"/>
      <c r="O165" s="60"/>
    </row>
    <row r="166" spans="1:15" s="280" customFormat="1" x14ac:dyDescent="0.3">
      <c r="A166" s="60"/>
      <c r="B166" s="48"/>
      <c r="C166" s="48"/>
      <c r="D166" s="48"/>
      <c r="E166" s="48"/>
      <c r="F166" s="286"/>
      <c r="G166" s="48"/>
      <c r="H166" s="48"/>
      <c r="I166" s="48"/>
      <c r="K166" s="60"/>
      <c r="L166" s="60"/>
      <c r="M166" s="60"/>
      <c r="N166" s="60"/>
      <c r="O166" s="60"/>
    </row>
    <row r="167" spans="1:15" s="280" customFormat="1" x14ac:dyDescent="0.3">
      <c r="A167" s="60"/>
      <c r="B167" s="48"/>
      <c r="C167" s="48"/>
      <c r="D167" s="48"/>
      <c r="E167" s="48"/>
      <c r="F167" s="286"/>
      <c r="G167" s="48"/>
      <c r="H167" s="48"/>
      <c r="I167" s="48"/>
      <c r="K167" s="60"/>
      <c r="L167" s="60"/>
      <c r="M167" s="60"/>
      <c r="N167" s="60"/>
      <c r="O167" s="60"/>
    </row>
    <row r="168" spans="1:15" s="280" customFormat="1" x14ac:dyDescent="0.3">
      <c r="A168" s="60"/>
      <c r="B168" s="48"/>
      <c r="C168" s="48"/>
      <c r="D168" s="48"/>
      <c r="E168" s="48"/>
      <c r="F168" s="286"/>
      <c r="G168" s="48"/>
      <c r="H168" s="48"/>
      <c r="I168" s="48"/>
      <c r="K168" s="60"/>
      <c r="L168" s="60"/>
      <c r="M168" s="60"/>
      <c r="N168" s="60"/>
      <c r="O168" s="60"/>
    </row>
    <row r="169" spans="1:15" s="280" customFormat="1" x14ac:dyDescent="0.3">
      <c r="A169" s="60"/>
      <c r="B169" s="48"/>
      <c r="C169" s="48"/>
      <c r="D169" s="48"/>
      <c r="E169" s="48"/>
      <c r="F169" s="286"/>
      <c r="G169" s="48"/>
      <c r="H169" s="48"/>
      <c r="I169" s="48"/>
      <c r="K169" s="60"/>
      <c r="L169" s="60"/>
      <c r="M169" s="60"/>
      <c r="N169" s="60"/>
      <c r="O169" s="60"/>
    </row>
    <row r="170" spans="1:15" s="280" customFormat="1" x14ac:dyDescent="0.3">
      <c r="A170" s="60"/>
      <c r="B170" s="48"/>
      <c r="C170" s="48"/>
      <c r="D170" s="48"/>
      <c r="E170" s="48"/>
      <c r="F170" s="286"/>
      <c r="G170" s="48"/>
      <c r="H170" s="48"/>
      <c r="I170" s="48"/>
      <c r="K170" s="60"/>
      <c r="L170" s="60"/>
      <c r="M170" s="60"/>
      <c r="N170" s="60"/>
      <c r="O170" s="60"/>
    </row>
    <row r="171" spans="1:15" s="280" customFormat="1" x14ac:dyDescent="0.3">
      <c r="A171" s="60"/>
      <c r="B171" s="48"/>
      <c r="C171" s="48"/>
      <c r="D171" s="48"/>
      <c r="E171" s="48"/>
      <c r="F171" s="286"/>
      <c r="G171" s="48"/>
      <c r="H171" s="48"/>
      <c r="I171" s="48"/>
      <c r="K171" s="60"/>
      <c r="L171" s="60"/>
      <c r="M171" s="60"/>
      <c r="N171" s="60"/>
      <c r="O171" s="60"/>
    </row>
    <row r="172" spans="1:15" s="280" customFormat="1" x14ac:dyDescent="0.3">
      <c r="A172" s="60"/>
      <c r="B172" s="48"/>
      <c r="C172" s="48"/>
      <c r="D172" s="48"/>
      <c r="E172" s="48"/>
      <c r="F172" s="286"/>
      <c r="G172" s="48"/>
      <c r="H172" s="48"/>
      <c r="I172" s="48"/>
      <c r="K172" s="60"/>
      <c r="L172" s="60"/>
      <c r="M172" s="60"/>
      <c r="N172" s="60"/>
      <c r="O172" s="60"/>
    </row>
    <row r="173" spans="1:15" s="280" customFormat="1" x14ac:dyDescent="0.3">
      <c r="A173" s="60"/>
      <c r="B173" s="48"/>
      <c r="C173" s="48"/>
      <c r="D173" s="48"/>
      <c r="E173" s="48"/>
      <c r="F173" s="286"/>
      <c r="G173" s="48"/>
      <c r="H173" s="48"/>
      <c r="I173" s="48"/>
      <c r="K173" s="60"/>
      <c r="L173" s="60"/>
      <c r="M173" s="60"/>
      <c r="N173" s="60"/>
      <c r="O173" s="60"/>
    </row>
  </sheetData>
  <mergeCells count="7">
    <mergeCell ref="H14:I15"/>
    <mergeCell ref="B14:F15"/>
    <mergeCell ref="B16:B18"/>
    <mergeCell ref="C16:C17"/>
    <mergeCell ref="D16:D17"/>
    <mergeCell ref="E16:E18"/>
    <mergeCell ref="F16:F17"/>
  </mergeCells>
  <pageMargins left="0.7" right="0.7" top="0.75" bottom="0.75" header="0.3" footer="0.3"/>
  <pageSetup orientation="landscape" horizontalDpi="4294967295" verticalDpi="4294967295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9" defaultRowHeight="15.75" x14ac:dyDescent="0.25"/>
  <cols>
    <col min="1" max="1" width="12.140625" style="391" customWidth="1"/>
    <col min="2" max="2" width="5.42578125" style="388" customWidth="1"/>
    <col min="3" max="3" width="6.42578125" style="388" customWidth="1"/>
    <col min="4" max="4" width="42.140625" style="388" customWidth="1"/>
    <col min="5" max="6" width="11.85546875" style="388" bestFit="1" customWidth="1"/>
    <col min="7" max="7" width="4.85546875" style="389" customWidth="1"/>
    <col min="8" max="8" width="5.5703125" style="389" customWidth="1"/>
    <col min="9" max="9" width="45" style="389" customWidth="1"/>
    <col min="10" max="11" width="11.85546875" style="388" bestFit="1" customWidth="1"/>
    <col min="12" max="12" width="4.7109375" style="389" customWidth="1"/>
    <col min="13" max="13" width="5.5703125" style="389" customWidth="1"/>
    <col min="14" max="14" width="44.140625" style="389" customWidth="1"/>
    <col min="15" max="15" width="12" style="388" customWidth="1"/>
    <col min="16" max="16" width="11.85546875" style="388" bestFit="1" customWidth="1"/>
    <col min="17" max="16384" width="9" style="389"/>
  </cols>
  <sheetData>
    <row r="1" spans="1:17" s="386" customFormat="1" ht="14.65" customHeight="1" x14ac:dyDescent="0.25">
      <c r="A1" s="732" t="s">
        <v>570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</row>
    <row r="2" spans="1:17" x14ac:dyDescent="0.25">
      <c r="A2" s="387" t="s">
        <v>563</v>
      </c>
      <c r="I2" s="390"/>
    </row>
    <row r="3" spans="1:17" x14ac:dyDescent="0.25">
      <c r="B3" s="392"/>
      <c r="C3" s="392"/>
      <c r="D3" s="392"/>
      <c r="E3" s="392"/>
      <c r="F3" s="392"/>
      <c r="G3" s="393"/>
      <c r="H3" s="393"/>
      <c r="I3" s="393"/>
      <c r="J3" s="392"/>
      <c r="K3" s="392"/>
      <c r="L3" s="393"/>
      <c r="M3" s="393"/>
      <c r="N3" s="393"/>
      <c r="O3" s="392"/>
      <c r="P3" s="392"/>
      <c r="Q3" s="393"/>
    </row>
    <row r="4" spans="1:17" ht="15.75" customHeight="1" x14ac:dyDescent="0.25">
      <c r="B4" s="394"/>
      <c r="C4" s="737" t="s">
        <v>19</v>
      </c>
      <c r="D4" s="738"/>
      <c r="E4" s="738"/>
      <c r="F4" s="739"/>
      <c r="G4" s="393"/>
      <c r="H4" s="737" t="s">
        <v>818</v>
      </c>
      <c r="I4" s="738"/>
      <c r="J4" s="738"/>
      <c r="K4" s="739"/>
      <c r="L4" s="393"/>
      <c r="M4" s="737" t="s">
        <v>20</v>
      </c>
      <c r="N4" s="738"/>
      <c r="O4" s="738"/>
      <c r="P4" s="739"/>
      <c r="Q4" s="393"/>
    </row>
    <row r="5" spans="1:17" x14ac:dyDescent="0.25">
      <c r="B5" s="395"/>
      <c r="C5" s="396"/>
      <c r="D5" s="397"/>
      <c r="E5" s="395" t="s">
        <v>0</v>
      </c>
      <c r="F5" s="395" t="s">
        <v>1</v>
      </c>
      <c r="G5" s="393"/>
      <c r="H5" s="397"/>
      <c r="I5" s="397"/>
      <c r="J5" s="395" t="s">
        <v>0</v>
      </c>
      <c r="K5" s="395" t="s">
        <v>1</v>
      </c>
      <c r="L5" s="393"/>
      <c r="M5" s="397"/>
      <c r="N5" s="397"/>
      <c r="O5" s="395" t="s">
        <v>0</v>
      </c>
      <c r="P5" s="395" t="s">
        <v>1</v>
      </c>
      <c r="Q5" s="393"/>
    </row>
    <row r="6" spans="1:17" x14ac:dyDescent="0.25">
      <c r="A6" s="398" t="s">
        <v>102</v>
      </c>
      <c r="B6" s="395"/>
      <c r="C6" s="399"/>
      <c r="D6" s="395"/>
      <c r="E6" s="395"/>
      <c r="F6" s="395"/>
      <c r="G6" s="393"/>
      <c r="H6" s="397"/>
      <c r="I6" s="397"/>
      <c r="J6" s="395"/>
      <c r="K6" s="395"/>
      <c r="L6" s="393"/>
      <c r="M6" s="397"/>
      <c r="N6" s="397"/>
      <c r="O6" s="395"/>
      <c r="P6" s="395"/>
      <c r="Q6" s="393"/>
    </row>
    <row r="7" spans="1:17" x14ac:dyDescent="0.25">
      <c r="A7" s="400">
        <v>44197</v>
      </c>
      <c r="B7" s="401"/>
      <c r="C7" s="389" t="s">
        <v>551</v>
      </c>
      <c r="D7" s="389"/>
      <c r="E7" s="401">
        <f>+'Ex. 6 Calcs-Corp'!I6</f>
        <v>519842</v>
      </c>
      <c r="F7" s="401"/>
      <c r="G7" s="393"/>
      <c r="H7" s="389" t="s">
        <v>55</v>
      </c>
      <c r="J7" s="402">
        <f>+K10</f>
        <v>519842</v>
      </c>
      <c r="K7" s="403"/>
      <c r="L7" s="393"/>
      <c r="M7" s="404" t="str">
        <f>+H7</f>
        <v>Lease asset</v>
      </c>
      <c r="N7" s="404"/>
      <c r="O7" s="401">
        <f>+J7</f>
        <v>519842</v>
      </c>
      <c r="P7" s="401"/>
      <c r="Q7" s="401"/>
    </row>
    <row r="8" spans="1:17" x14ac:dyDescent="0.25">
      <c r="B8" s="401"/>
      <c r="C8" s="389"/>
      <c r="D8" s="389" t="s">
        <v>518</v>
      </c>
      <c r="E8" s="401"/>
      <c r="F8" s="401">
        <f>+'Ex. 6 Calcs-Corp'!D7</f>
        <v>509842</v>
      </c>
      <c r="G8" s="393"/>
      <c r="H8" s="389" t="str">
        <f>+D8</f>
        <v>Other financing source - lease payable</v>
      </c>
      <c r="J8" s="402">
        <f>+F8</f>
        <v>509842</v>
      </c>
      <c r="K8" s="403"/>
      <c r="L8" s="393"/>
      <c r="M8" s="405"/>
      <c r="N8" s="404" t="str">
        <f>+I9</f>
        <v>Lease liability</v>
      </c>
      <c r="O8" s="401"/>
      <c r="P8" s="401">
        <f>+K9</f>
        <v>509842</v>
      </c>
      <c r="Q8" s="401"/>
    </row>
    <row r="9" spans="1:17" x14ac:dyDescent="0.25">
      <c r="B9" s="401"/>
      <c r="C9" s="389"/>
      <c r="D9" s="389" t="s">
        <v>2</v>
      </c>
      <c r="E9" s="401"/>
      <c r="F9" s="401">
        <f>+'Ex. 6 Calcs-Corp'!I5</f>
        <v>10000</v>
      </c>
      <c r="G9" s="393"/>
      <c r="I9" s="389" t="s">
        <v>71</v>
      </c>
      <c r="J9" s="389"/>
      <c r="K9" s="403">
        <f>+J8</f>
        <v>509842</v>
      </c>
      <c r="L9" s="393"/>
      <c r="N9" s="404" t="str">
        <f>+D9</f>
        <v>Cash</v>
      </c>
      <c r="O9" s="401"/>
      <c r="P9" s="401">
        <f>+F9</f>
        <v>10000</v>
      </c>
      <c r="Q9" s="401"/>
    </row>
    <row r="10" spans="1:17" x14ac:dyDescent="0.25">
      <c r="B10" s="401"/>
      <c r="C10" s="406" t="s">
        <v>519</v>
      </c>
      <c r="D10" s="389"/>
      <c r="E10" s="401"/>
      <c r="F10" s="401"/>
      <c r="G10" s="393"/>
      <c r="H10" s="404"/>
      <c r="I10" s="404" t="str">
        <f>+C7</f>
        <v xml:space="preserve">Capital outlay - lease </v>
      </c>
      <c r="J10" s="389"/>
      <c r="K10" s="403">
        <f>+E7</f>
        <v>519842</v>
      </c>
      <c r="L10" s="393"/>
      <c r="M10" s="406" t="s">
        <v>519</v>
      </c>
      <c r="N10" s="404"/>
      <c r="O10" s="401"/>
      <c r="P10" s="401"/>
      <c r="Q10" s="401"/>
    </row>
    <row r="11" spans="1:17" x14ac:dyDescent="0.25">
      <c r="B11" s="401"/>
      <c r="C11" s="406"/>
      <c r="D11" s="389"/>
      <c r="E11" s="401"/>
      <c r="F11" s="401"/>
      <c r="G11" s="393"/>
      <c r="H11" s="404"/>
      <c r="I11" s="404"/>
      <c r="J11" s="401"/>
      <c r="K11" s="401"/>
      <c r="L11" s="393"/>
      <c r="M11" s="405"/>
      <c r="N11" s="404"/>
      <c r="O11" s="401"/>
      <c r="P11" s="401"/>
      <c r="Q11" s="401"/>
    </row>
    <row r="12" spans="1:17" x14ac:dyDescent="0.25">
      <c r="B12" s="401"/>
      <c r="C12" s="406"/>
      <c r="D12" s="389"/>
      <c r="E12" s="401"/>
      <c r="F12" s="401"/>
      <c r="G12" s="393"/>
      <c r="H12" s="404"/>
      <c r="J12" s="389"/>
      <c r="K12" s="389"/>
      <c r="O12" s="389"/>
      <c r="P12" s="389"/>
      <c r="Q12" s="401"/>
    </row>
    <row r="13" spans="1:17" x14ac:dyDescent="0.25">
      <c r="A13" s="407">
        <v>44228</v>
      </c>
      <c r="B13" s="401"/>
      <c r="C13" s="389" t="s">
        <v>552</v>
      </c>
      <c r="D13" s="389"/>
      <c r="E13" s="401">
        <f>+'Ex. 6 Calcs-Corp'!E21</f>
        <v>7451</v>
      </c>
      <c r="F13" s="401"/>
      <c r="G13" s="393"/>
      <c r="H13" s="404" t="s">
        <v>71</v>
      </c>
      <c r="I13" s="404"/>
      <c r="J13" s="401">
        <f>+K15</f>
        <v>7451</v>
      </c>
      <c r="K13" s="401"/>
      <c r="L13" s="393"/>
      <c r="M13" s="404" t="str">
        <f>+H13</f>
        <v>Lease liability</v>
      </c>
      <c r="N13" s="404"/>
      <c r="O13" s="401">
        <f>+J13</f>
        <v>7451</v>
      </c>
      <c r="P13" s="401"/>
      <c r="Q13" s="401"/>
    </row>
    <row r="14" spans="1:17" x14ac:dyDescent="0.25">
      <c r="A14" s="408"/>
      <c r="B14" s="401"/>
      <c r="C14" s="389" t="s">
        <v>553</v>
      </c>
      <c r="D14" s="389"/>
      <c r="E14" s="401">
        <f>+'Ex. 6 Calcs-Corp'!D21</f>
        <v>2549</v>
      </c>
      <c r="F14" s="401"/>
      <c r="G14" s="393"/>
      <c r="H14" s="404" t="s">
        <v>3</v>
      </c>
      <c r="I14" s="404"/>
      <c r="J14" s="401">
        <f>+K16</f>
        <v>2549</v>
      </c>
      <c r="K14" s="401"/>
      <c r="L14" s="393"/>
      <c r="M14" s="404" t="str">
        <f>+H14</f>
        <v>Interest expense</v>
      </c>
      <c r="N14" s="404"/>
      <c r="O14" s="401">
        <f>+J14</f>
        <v>2549</v>
      </c>
      <c r="P14" s="401"/>
      <c r="Q14" s="401"/>
    </row>
    <row r="15" spans="1:17" x14ac:dyDescent="0.25">
      <c r="B15" s="401"/>
      <c r="C15" s="406"/>
      <c r="D15" s="389" t="s">
        <v>2</v>
      </c>
      <c r="E15" s="401"/>
      <c r="F15" s="401">
        <f>+'Ex. 6 Calcs-Corp'!C21</f>
        <v>10000</v>
      </c>
      <c r="G15" s="393"/>
      <c r="H15" s="404"/>
      <c r="I15" s="404" t="str">
        <f>+C13</f>
        <v>Debt service - lease principal</v>
      </c>
      <c r="J15" s="401"/>
      <c r="K15" s="401">
        <f>+E13</f>
        <v>7451</v>
      </c>
      <c r="L15" s="393"/>
      <c r="M15" s="405"/>
      <c r="N15" s="404" t="str">
        <f>+D15</f>
        <v>Cash</v>
      </c>
      <c r="O15" s="401"/>
      <c r="P15" s="401">
        <f>+F15</f>
        <v>10000</v>
      </c>
      <c r="Q15" s="401"/>
    </row>
    <row r="16" spans="1:17" x14ac:dyDescent="0.25">
      <c r="A16" s="389"/>
      <c r="B16" s="401"/>
      <c r="C16" s="406" t="s">
        <v>839</v>
      </c>
      <c r="D16" s="389"/>
      <c r="E16" s="401"/>
      <c r="F16" s="401"/>
      <c r="G16" s="393"/>
      <c r="H16" s="406"/>
      <c r="I16" s="389" t="str">
        <f>+C14</f>
        <v xml:space="preserve">Debt service - lease interest </v>
      </c>
      <c r="J16" s="401"/>
      <c r="K16" s="401">
        <f>+E14</f>
        <v>2549</v>
      </c>
      <c r="L16" s="393"/>
      <c r="M16" s="405" t="str">
        <f>+C16</f>
        <v>[To record monthly lease payment]</v>
      </c>
      <c r="N16" s="404"/>
      <c r="O16" s="401"/>
      <c r="P16" s="401"/>
      <c r="Q16" s="401"/>
    </row>
    <row r="17" spans="1:17" x14ac:dyDescent="0.25">
      <c r="B17" s="401"/>
      <c r="C17" s="406"/>
      <c r="D17" s="401"/>
      <c r="E17" s="401"/>
      <c r="F17" s="401"/>
      <c r="G17" s="393"/>
      <c r="H17" s="406"/>
      <c r="I17" s="404"/>
      <c r="J17" s="401"/>
      <c r="K17" s="401"/>
      <c r="L17" s="393"/>
      <c r="M17" s="405"/>
      <c r="N17" s="404"/>
      <c r="O17" s="404"/>
      <c r="P17" s="401"/>
      <c r="Q17" s="401"/>
    </row>
    <row r="18" spans="1:17" x14ac:dyDescent="0.25">
      <c r="B18" s="401"/>
      <c r="C18" s="406"/>
      <c r="D18" s="401"/>
      <c r="E18" s="401"/>
      <c r="F18" s="401"/>
      <c r="G18" s="393"/>
      <c r="H18" s="406"/>
      <c r="I18" s="404"/>
      <c r="J18" s="401"/>
      <c r="K18" s="401"/>
      <c r="L18" s="393"/>
      <c r="M18" s="405"/>
      <c r="N18" s="404"/>
      <c r="O18" s="404"/>
      <c r="P18" s="401"/>
      <c r="Q18" s="401"/>
    </row>
    <row r="19" spans="1:17" x14ac:dyDescent="0.25">
      <c r="A19" s="407">
        <v>44256</v>
      </c>
      <c r="B19" s="401"/>
      <c r="C19" s="389" t="s">
        <v>552</v>
      </c>
      <c r="D19" s="389"/>
      <c r="E19" s="401">
        <f>+'Ex. 6 Calcs-Corp'!E22</f>
        <v>7488</v>
      </c>
      <c r="F19" s="401"/>
      <c r="G19" s="393"/>
      <c r="H19" s="404" t="s">
        <v>71</v>
      </c>
      <c r="I19" s="404"/>
      <c r="J19" s="401">
        <f>+K21</f>
        <v>7488</v>
      </c>
      <c r="K19" s="401"/>
      <c r="L19" s="393"/>
      <c r="M19" s="404" t="str">
        <f>+H19</f>
        <v>Lease liability</v>
      </c>
      <c r="N19" s="404"/>
      <c r="O19" s="401">
        <f>+J19</f>
        <v>7488</v>
      </c>
      <c r="P19" s="401"/>
      <c r="Q19" s="401"/>
    </row>
    <row r="20" spans="1:17" x14ac:dyDescent="0.25">
      <c r="A20" s="408"/>
      <c r="B20" s="401"/>
      <c r="C20" s="389" t="s">
        <v>553</v>
      </c>
      <c r="D20" s="389"/>
      <c r="E20" s="401">
        <f>+'Ex. 6 Calcs-Corp'!D22</f>
        <v>2512</v>
      </c>
      <c r="F20" s="401"/>
      <c r="G20" s="393"/>
      <c r="H20" s="404" t="s">
        <v>3</v>
      </c>
      <c r="I20" s="404"/>
      <c r="J20" s="401">
        <f>+K22</f>
        <v>2512</v>
      </c>
      <c r="K20" s="401"/>
      <c r="L20" s="393"/>
      <c r="M20" s="404" t="str">
        <f>+H20</f>
        <v>Interest expense</v>
      </c>
      <c r="N20" s="404"/>
      <c r="O20" s="401">
        <f>+J20</f>
        <v>2512</v>
      </c>
      <c r="P20" s="401"/>
      <c r="Q20" s="401"/>
    </row>
    <row r="21" spans="1:17" x14ac:dyDescent="0.25">
      <c r="B21" s="401"/>
      <c r="C21" s="406"/>
      <c r="D21" s="389" t="s">
        <v>2</v>
      </c>
      <c r="E21" s="401"/>
      <c r="F21" s="401">
        <f>+'Ex. 6 Calcs-Corp'!C22</f>
        <v>10000</v>
      </c>
      <c r="G21" s="393"/>
      <c r="H21" s="404"/>
      <c r="I21" s="404" t="str">
        <f>+C19</f>
        <v>Debt service - lease principal</v>
      </c>
      <c r="J21" s="401"/>
      <c r="K21" s="401">
        <f>+E19</f>
        <v>7488</v>
      </c>
      <c r="L21" s="393"/>
      <c r="M21" s="405"/>
      <c r="N21" s="404" t="str">
        <f>+D21</f>
        <v>Cash</v>
      </c>
      <c r="O21" s="401"/>
      <c r="P21" s="401">
        <f>+F21</f>
        <v>10000</v>
      </c>
      <c r="Q21" s="401"/>
    </row>
    <row r="22" spans="1:17" x14ac:dyDescent="0.25">
      <c r="A22" s="389"/>
      <c r="B22" s="401"/>
      <c r="C22" s="406" t="s">
        <v>839</v>
      </c>
      <c r="D22" s="389"/>
      <c r="E22" s="401"/>
      <c r="F22" s="401"/>
      <c r="G22" s="393"/>
      <c r="H22" s="406"/>
      <c r="I22" s="389" t="str">
        <f>+C20</f>
        <v xml:space="preserve">Debt service - lease interest </v>
      </c>
      <c r="J22" s="401"/>
      <c r="K22" s="401">
        <f>+E20</f>
        <v>2512</v>
      </c>
      <c r="L22" s="393"/>
      <c r="M22" s="405" t="str">
        <f>+C22</f>
        <v>[To record monthly lease payment]</v>
      </c>
      <c r="N22" s="404"/>
      <c r="O22" s="401"/>
      <c r="P22" s="401"/>
      <c r="Q22" s="401"/>
    </row>
    <row r="23" spans="1:17" x14ac:dyDescent="0.25">
      <c r="B23" s="401"/>
      <c r="C23" s="406"/>
      <c r="D23" s="401"/>
      <c r="E23" s="401"/>
      <c r="F23" s="401"/>
      <c r="G23" s="393"/>
      <c r="H23" s="406"/>
      <c r="I23" s="404"/>
      <c r="J23" s="401"/>
      <c r="K23" s="401"/>
      <c r="L23" s="393"/>
      <c r="M23" s="405"/>
      <c r="N23" s="404"/>
      <c r="O23" s="404"/>
      <c r="P23" s="401"/>
      <c r="Q23" s="401"/>
    </row>
    <row r="24" spans="1:17" x14ac:dyDescent="0.25">
      <c r="B24" s="401"/>
      <c r="C24" s="406"/>
      <c r="D24" s="401"/>
      <c r="E24" s="401"/>
      <c r="F24" s="401"/>
      <c r="G24" s="393"/>
      <c r="H24" s="406"/>
      <c r="I24" s="404"/>
      <c r="J24" s="401"/>
      <c r="K24" s="401"/>
      <c r="L24" s="393"/>
      <c r="M24" s="405"/>
      <c r="N24" s="404"/>
      <c r="O24" s="404"/>
      <c r="P24" s="401"/>
      <c r="Q24" s="401"/>
    </row>
    <row r="25" spans="1:17" x14ac:dyDescent="0.25">
      <c r="A25" s="407">
        <v>44287</v>
      </c>
      <c r="B25" s="401"/>
      <c r="C25" s="389" t="s">
        <v>552</v>
      </c>
      <c r="D25" s="389"/>
      <c r="E25" s="401">
        <f>+'Ex. 6 Calcs-Corp'!E23</f>
        <v>7525</v>
      </c>
      <c r="F25" s="401"/>
      <c r="G25" s="393"/>
      <c r="H25" s="404" t="s">
        <v>71</v>
      </c>
      <c r="I25" s="404"/>
      <c r="J25" s="401">
        <f>+K27</f>
        <v>7525</v>
      </c>
      <c r="K25" s="401"/>
      <c r="L25" s="393"/>
      <c r="M25" s="404" t="str">
        <f>+H25</f>
        <v>Lease liability</v>
      </c>
      <c r="N25" s="404"/>
      <c r="O25" s="401">
        <f>+J25</f>
        <v>7525</v>
      </c>
      <c r="P25" s="401"/>
      <c r="Q25" s="401"/>
    </row>
    <row r="26" spans="1:17" x14ac:dyDescent="0.25">
      <c r="A26" s="408"/>
      <c r="B26" s="401"/>
      <c r="C26" s="389" t="s">
        <v>553</v>
      </c>
      <c r="D26" s="389"/>
      <c r="E26" s="401">
        <f>+'Ex. 6 Calcs-Corp'!D23</f>
        <v>2475</v>
      </c>
      <c r="F26" s="401"/>
      <c r="G26" s="393"/>
      <c r="H26" s="404" t="s">
        <v>3</v>
      </c>
      <c r="I26" s="404"/>
      <c r="J26" s="401">
        <f>+K28</f>
        <v>2475</v>
      </c>
      <c r="K26" s="401"/>
      <c r="L26" s="393"/>
      <c r="M26" s="404" t="str">
        <f>+H26</f>
        <v>Interest expense</v>
      </c>
      <c r="N26" s="404"/>
      <c r="O26" s="401">
        <f>+J26</f>
        <v>2475</v>
      </c>
      <c r="P26" s="401"/>
      <c r="Q26" s="401"/>
    </row>
    <row r="27" spans="1:17" x14ac:dyDescent="0.25">
      <c r="B27" s="401"/>
      <c r="C27" s="406"/>
      <c r="D27" s="389" t="s">
        <v>2</v>
      </c>
      <c r="E27" s="401"/>
      <c r="F27" s="401">
        <f>+'Ex. 6 Calcs-Corp'!C23</f>
        <v>10000</v>
      </c>
      <c r="G27" s="393"/>
      <c r="H27" s="404"/>
      <c r="I27" s="404" t="str">
        <f>+C25</f>
        <v>Debt service - lease principal</v>
      </c>
      <c r="J27" s="401"/>
      <c r="K27" s="401">
        <f>+E25</f>
        <v>7525</v>
      </c>
      <c r="L27" s="393"/>
      <c r="M27" s="405"/>
      <c r="N27" s="404" t="str">
        <f>+D27</f>
        <v>Cash</v>
      </c>
      <c r="O27" s="401"/>
      <c r="P27" s="401">
        <f>+F27</f>
        <v>10000</v>
      </c>
      <c r="Q27" s="401"/>
    </row>
    <row r="28" spans="1:17" x14ac:dyDescent="0.25">
      <c r="A28" s="389"/>
      <c r="B28" s="401"/>
      <c r="C28" s="406" t="s">
        <v>839</v>
      </c>
      <c r="D28" s="389"/>
      <c r="E28" s="401"/>
      <c r="F28" s="401"/>
      <c r="G28" s="393"/>
      <c r="H28" s="406"/>
      <c r="I28" s="389" t="str">
        <f>+C26</f>
        <v xml:space="preserve">Debt service - lease interest </v>
      </c>
      <c r="J28" s="401"/>
      <c r="K28" s="401">
        <f>+E26</f>
        <v>2475</v>
      </c>
      <c r="L28" s="393"/>
      <c r="M28" s="405" t="str">
        <f>+C28</f>
        <v>[To record monthly lease payment]</v>
      </c>
      <c r="N28" s="404"/>
      <c r="O28" s="401"/>
      <c r="P28" s="401"/>
      <c r="Q28" s="401"/>
    </row>
    <row r="29" spans="1:17" x14ac:dyDescent="0.25">
      <c r="B29" s="401"/>
      <c r="C29" s="406"/>
      <c r="D29" s="401"/>
      <c r="E29" s="401"/>
      <c r="F29" s="401"/>
      <c r="G29" s="393"/>
      <c r="H29" s="406"/>
      <c r="I29" s="404"/>
      <c r="J29" s="401"/>
      <c r="K29" s="401"/>
      <c r="L29" s="393"/>
      <c r="M29" s="405"/>
      <c r="N29" s="404"/>
      <c r="O29" s="404"/>
      <c r="P29" s="401"/>
      <c r="Q29" s="401"/>
    </row>
    <row r="30" spans="1:17" x14ac:dyDescent="0.25">
      <c r="B30" s="401"/>
      <c r="C30" s="406"/>
      <c r="D30" s="401"/>
      <c r="E30" s="401"/>
      <c r="F30" s="401"/>
      <c r="G30" s="393"/>
      <c r="H30" s="406"/>
      <c r="I30" s="404"/>
      <c r="J30" s="401"/>
      <c r="K30" s="401"/>
      <c r="L30" s="393"/>
      <c r="M30" s="405"/>
      <c r="N30" s="404"/>
      <c r="O30" s="404"/>
      <c r="P30" s="401"/>
      <c r="Q30" s="401"/>
    </row>
    <row r="31" spans="1:17" x14ac:dyDescent="0.25">
      <c r="A31" s="407">
        <v>44317</v>
      </c>
      <c r="B31" s="401"/>
      <c r="C31" s="389" t="s">
        <v>552</v>
      </c>
      <c r="D31" s="389"/>
      <c r="E31" s="401">
        <f>+'Ex. 6 Calcs-Corp'!E24</f>
        <v>7563</v>
      </c>
      <c r="F31" s="401"/>
      <c r="G31" s="393"/>
      <c r="H31" s="404" t="s">
        <v>71</v>
      </c>
      <c r="I31" s="404"/>
      <c r="J31" s="401">
        <f>+K33</f>
        <v>7563</v>
      </c>
      <c r="K31" s="401"/>
      <c r="L31" s="393"/>
      <c r="M31" s="404" t="str">
        <f>+H31</f>
        <v>Lease liability</v>
      </c>
      <c r="N31" s="404"/>
      <c r="O31" s="401">
        <f>+J31</f>
        <v>7563</v>
      </c>
      <c r="P31" s="401"/>
      <c r="Q31" s="401"/>
    </row>
    <row r="32" spans="1:17" x14ac:dyDescent="0.25">
      <c r="A32" s="408"/>
      <c r="B32" s="401"/>
      <c r="C32" s="389" t="s">
        <v>553</v>
      </c>
      <c r="D32" s="389"/>
      <c r="E32" s="401">
        <f>+'Ex. 6 Calcs-Corp'!D24</f>
        <v>2437</v>
      </c>
      <c r="F32" s="401"/>
      <c r="G32" s="393"/>
      <c r="H32" s="404" t="s">
        <v>3</v>
      </c>
      <c r="I32" s="404"/>
      <c r="J32" s="401">
        <f>+K34</f>
        <v>2437</v>
      </c>
      <c r="K32" s="401"/>
      <c r="L32" s="393"/>
      <c r="M32" s="404" t="str">
        <f>+H32</f>
        <v>Interest expense</v>
      </c>
      <c r="N32" s="404"/>
      <c r="O32" s="401">
        <f>+J32</f>
        <v>2437</v>
      </c>
      <c r="P32" s="401"/>
      <c r="Q32" s="401"/>
    </row>
    <row r="33" spans="1:17" x14ac:dyDescent="0.25">
      <c r="B33" s="401"/>
      <c r="C33" s="406"/>
      <c r="D33" s="389" t="s">
        <v>2</v>
      </c>
      <c r="E33" s="401"/>
      <c r="F33" s="401">
        <f>+'Ex. 6 Calcs-Corp'!C24</f>
        <v>10000</v>
      </c>
      <c r="G33" s="393"/>
      <c r="H33" s="404"/>
      <c r="I33" s="404" t="str">
        <f>+C31</f>
        <v>Debt service - lease principal</v>
      </c>
      <c r="J33" s="401"/>
      <c r="K33" s="401">
        <f>+E31</f>
        <v>7563</v>
      </c>
      <c r="L33" s="393"/>
      <c r="M33" s="405"/>
      <c r="N33" s="404" t="str">
        <f>+D33</f>
        <v>Cash</v>
      </c>
      <c r="O33" s="401"/>
      <c r="P33" s="401">
        <f>+F33</f>
        <v>10000</v>
      </c>
      <c r="Q33" s="401"/>
    </row>
    <row r="34" spans="1:17" x14ac:dyDescent="0.25">
      <c r="A34" s="389"/>
      <c r="B34" s="401"/>
      <c r="C34" s="406" t="s">
        <v>839</v>
      </c>
      <c r="D34" s="389"/>
      <c r="E34" s="401"/>
      <c r="F34" s="401"/>
      <c r="G34" s="393"/>
      <c r="H34" s="406"/>
      <c r="I34" s="389" t="str">
        <f>+C32</f>
        <v xml:space="preserve">Debt service - lease interest </v>
      </c>
      <c r="J34" s="401"/>
      <c r="K34" s="401">
        <f>+E32</f>
        <v>2437</v>
      </c>
      <c r="L34" s="393"/>
      <c r="M34" s="405" t="str">
        <f>+C34</f>
        <v>[To record monthly lease payment]</v>
      </c>
      <c r="N34" s="404"/>
      <c r="O34" s="401"/>
      <c r="P34" s="401"/>
      <c r="Q34" s="401"/>
    </row>
    <row r="35" spans="1:17" x14ac:dyDescent="0.25">
      <c r="B35" s="401"/>
      <c r="C35" s="406"/>
      <c r="D35" s="401"/>
      <c r="E35" s="401"/>
      <c r="F35" s="401"/>
      <c r="G35" s="393"/>
      <c r="H35" s="406"/>
      <c r="I35" s="404"/>
      <c r="J35" s="401"/>
      <c r="K35" s="401"/>
      <c r="L35" s="393"/>
      <c r="M35" s="405"/>
      <c r="N35" s="404"/>
      <c r="O35" s="404"/>
      <c r="P35" s="401"/>
      <c r="Q35" s="401"/>
    </row>
    <row r="36" spans="1:17" x14ac:dyDescent="0.25">
      <c r="B36" s="401"/>
      <c r="C36" s="406"/>
      <c r="D36" s="401"/>
      <c r="E36" s="401"/>
      <c r="F36" s="401"/>
      <c r="G36" s="393"/>
      <c r="H36" s="406"/>
      <c r="I36" s="404"/>
      <c r="J36" s="401"/>
      <c r="K36" s="401"/>
      <c r="L36" s="393"/>
      <c r="M36" s="405"/>
      <c r="N36" s="404"/>
      <c r="O36" s="404"/>
      <c r="P36" s="401"/>
      <c r="Q36" s="401"/>
    </row>
    <row r="37" spans="1:17" x14ac:dyDescent="0.25">
      <c r="A37" s="407">
        <v>44348</v>
      </c>
      <c r="B37" s="401"/>
      <c r="C37" s="389" t="s">
        <v>552</v>
      </c>
      <c r="D37" s="389"/>
      <c r="E37" s="401">
        <f>+'Ex. 6 Calcs-Corp'!E25</f>
        <v>7601</v>
      </c>
      <c r="F37" s="401"/>
      <c r="G37" s="393"/>
      <c r="H37" s="404" t="s">
        <v>71</v>
      </c>
      <c r="I37" s="404"/>
      <c r="J37" s="401">
        <f>+K39</f>
        <v>7601</v>
      </c>
      <c r="K37" s="401"/>
      <c r="L37" s="393"/>
      <c r="M37" s="404" t="str">
        <f>+H37</f>
        <v>Lease liability</v>
      </c>
      <c r="N37" s="404"/>
      <c r="O37" s="401">
        <f>+J37</f>
        <v>7601</v>
      </c>
      <c r="P37" s="401"/>
      <c r="Q37" s="401"/>
    </row>
    <row r="38" spans="1:17" x14ac:dyDescent="0.25">
      <c r="A38" s="408"/>
      <c r="B38" s="401"/>
      <c r="C38" s="389" t="s">
        <v>553</v>
      </c>
      <c r="D38" s="389"/>
      <c r="E38" s="401">
        <f>+'Ex. 6 Calcs-Corp'!D25</f>
        <v>2399</v>
      </c>
      <c r="F38" s="401"/>
      <c r="G38" s="393"/>
      <c r="H38" s="404" t="s">
        <v>3</v>
      </c>
      <c r="I38" s="404"/>
      <c r="J38" s="401">
        <f>+K40</f>
        <v>2399</v>
      </c>
      <c r="K38" s="401"/>
      <c r="L38" s="393"/>
      <c r="M38" s="404" t="str">
        <f>+H38</f>
        <v>Interest expense</v>
      </c>
      <c r="N38" s="404"/>
      <c r="O38" s="401">
        <f>+J38</f>
        <v>2399</v>
      </c>
      <c r="P38" s="401"/>
      <c r="Q38" s="401"/>
    </row>
    <row r="39" spans="1:17" x14ac:dyDescent="0.25">
      <c r="B39" s="401"/>
      <c r="C39" s="406"/>
      <c r="D39" s="389" t="s">
        <v>2</v>
      </c>
      <c r="E39" s="401"/>
      <c r="F39" s="401">
        <f>+'Ex. 6 Calcs-Corp'!C25</f>
        <v>10000</v>
      </c>
      <c r="G39" s="393"/>
      <c r="H39" s="404"/>
      <c r="I39" s="404" t="str">
        <f>+C37</f>
        <v>Debt service - lease principal</v>
      </c>
      <c r="J39" s="401"/>
      <c r="K39" s="401">
        <f>+E37</f>
        <v>7601</v>
      </c>
      <c r="L39" s="393"/>
      <c r="M39" s="405"/>
      <c r="N39" s="404" t="str">
        <f>+D39</f>
        <v>Cash</v>
      </c>
      <c r="O39" s="401"/>
      <c r="P39" s="401">
        <f>+F39</f>
        <v>10000</v>
      </c>
      <c r="Q39" s="401"/>
    </row>
    <row r="40" spans="1:17" x14ac:dyDescent="0.25">
      <c r="A40" s="389"/>
      <c r="B40" s="401"/>
      <c r="C40" s="406" t="s">
        <v>839</v>
      </c>
      <c r="D40" s="389"/>
      <c r="E40" s="401"/>
      <c r="F40" s="401"/>
      <c r="G40" s="393"/>
      <c r="H40" s="406"/>
      <c r="I40" s="389" t="str">
        <f>+C38</f>
        <v xml:space="preserve">Debt service - lease interest </v>
      </c>
      <c r="J40" s="401"/>
      <c r="K40" s="401">
        <f>+E38</f>
        <v>2399</v>
      </c>
      <c r="L40" s="393"/>
      <c r="M40" s="405" t="str">
        <f>+C40</f>
        <v>[To record monthly lease payment]</v>
      </c>
      <c r="N40" s="404"/>
      <c r="O40" s="401"/>
      <c r="P40" s="401"/>
      <c r="Q40" s="401"/>
    </row>
    <row r="41" spans="1:17" x14ac:dyDescent="0.25">
      <c r="B41" s="401"/>
      <c r="C41" s="406"/>
      <c r="D41" s="401"/>
      <c r="E41" s="401"/>
      <c r="F41" s="401"/>
      <c r="G41" s="393"/>
      <c r="H41" s="406"/>
      <c r="I41" s="404"/>
      <c r="J41" s="401"/>
      <c r="K41" s="401"/>
      <c r="L41" s="393"/>
      <c r="M41" s="405"/>
      <c r="N41" s="404"/>
      <c r="O41" s="404"/>
      <c r="P41" s="401"/>
      <c r="Q41" s="401"/>
    </row>
    <row r="42" spans="1:17" x14ac:dyDescent="0.25">
      <c r="B42" s="401"/>
      <c r="C42" s="406"/>
      <c r="D42" s="401"/>
      <c r="E42" s="401"/>
      <c r="F42" s="401"/>
      <c r="G42" s="393"/>
      <c r="H42" s="406"/>
      <c r="I42" s="404"/>
      <c r="J42" s="401"/>
      <c r="K42" s="401"/>
      <c r="L42" s="393"/>
      <c r="M42" s="405"/>
      <c r="N42" s="404"/>
      <c r="O42" s="401"/>
      <c r="P42" s="401"/>
      <c r="Q42" s="401"/>
    </row>
    <row r="43" spans="1:17" x14ac:dyDescent="0.25">
      <c r="A43" s="400">
        <v>44377</v>
      </c>
      <c r="B43" s="401"/>
      <c r="C43" s="406"/>
      <c r="D43" s="389" t="s">
        <v>36</v>
      </c>
      <c r="E43" s="401"/>
      <c r="F43" s="401"/>
      <c r="G43" s="393"/>
      <c r="H43" s="389" t="s">
        <v>632</v>
      </c>
      <c r="I43" s="404"/>
      <c r="J43" s="401">
        <f>+K44</f>
        <v>51985</v>
      </c>
      <c r="K43" s="401"/>
      <c r="L43" s="393"/>
      <c r="M43" s="405" t="str">
        <f t="shared" ref="M43:P45" si="0">H43</f>
        <v>Amortization expense</v>
      </c>
      <c r="N43" s="404"/>
      <c r="O43" s="401">
        <f t="shared" si="0"/>
        <v>51985</v>
      </c>
      <c r="P43" s="401"/>
      <c r="Q43" s="401"/>
    </row>
    <row r="44" spans="1:17" x14ac:dyDescent="0.25">
      <c r="B44" s="401"/>
      <c r="C44" s="406"/>
      <c r="D44" s="401"/>
      <c r="E44" s="401"/>
      <c r="F44" s="401"/>
      <c r="G44" s="393"/>
      <c r="H44" s="406"/>
      <c r="I44" s="404" t="s">
        <v>630</v>
      </c>
      <c r="J44" s="401"/>
      <c r="K44" s="401">
        <f>+'Ex. 6 Calcs-Corp'!I20</f>
        <v>51985</v>
      </c>
      <c r="L44" s="393"/>
      <c r="M44" s="405"/>
      <c r="N44" s="404" t="str">
        <f t="shared" si="0"/>
        <v>Accumulated amortization - lease asset</v>
      </c>
      <c r="O44" s="401"/>
      <c r="P44" s="401">
        <f t="shared" si="0"/>
        <v>51985</v>
      </c>
      <c r="Q44" s="401"/>
    </row>
    <row r="45" spans="1:17" x14ac:dyDescent="0.25">
      <c r="B45" s="401"/>
      <c r="C45" s="389"/>
      <c r="D45" s="401"/>
      <c r="E45" s="401"/>
      <c r="F45" s="401"/>
      <c r="G45" s="393"/>
      <c r="H45" s="406" t="s">
        <v>652</v>
      </c>
      <c r="J45" s="401"/>
      <c r="K45" s="401"/>
      <c r="L45" s="393"/>
      <c r="M45" s="405" t="str">
        <f t="shared" si="0"/>
        <v>[To record amortization of lease asset]</v>
      </c>
      <c r="N45" s="404"/>
      <c r="O45" s="401"/>
      <c r="P45" s="401"/>
      <c r="Q45" s="401"/>
    </row>
    <row r="46" spans="1:17" x14ac:dyDescent="0.25">
      <c r="B46" s="401"/>
      <c r="C46" s="389"/>
      <c r="D46" s="401"/>
      <c r="E46" s="409"/>
      <c r="F46" s="409"/>
      <c r="G46" s="393"/>
      <c r="H46" s="405"/>
      <c r="I46" s="404"/>
      <c r="J46" s="401"/>
      <c r="K46" s="401"/>
      <c r="L46" s="393"/>
      <c r="M46" s="405"/>
      <c r="N46" s="404"/>
      <c r="O46" s="401"/>
      <c r="P46" s="401"/>
      <c r="Q46" s="401"/>
    </row>
    <row r="47" spans="1:17" x14ac:dyDescent="0.25">
      <c r="B47" s="401"/>
      <c r="C47" s="389"/>
      <c r="D47" s="401"/>
      <c r="E47" s="409"/>
      <c r="F47" s="409"/>
      <c r="G47" s="393"/>
      <c r="H47" s="405"/>
      <c r="I47" s="404"/>
      <c r="J47" s="401"/>
      <c r="K47" s="401"/>
      <c r="L47" s="393"/>
      <c r="M47" s="405"/>
      <c r="N47" s="404"/>
      <c r="O47" s="401"/>
      <c r="P47" s="401"/>
      <c r="Q47" s="401"/>
    </row>
    <row r="48" spans="1:17" ht="16.5" thickBot="1" x14ac:dyDescent="0.3">
      <c r="E48" s="410">
        <f>SUM(E6:E47)-SUM(F6:F47)</f>
        <v>0</v>
      </c>
      <c r="J48" s="410">
        <f>SUM(J6:J47)-SUM(K6:K47)</f>
        <v>0</v>
      </c>
      <c r="O48" s="410">
        <f>SUM(O6:O47)-SUM(P6:P47)</f>
        <v>0</v>
      </c>
    </row>
    <row r="49" spans="1:17" s="415" customFormat="1" ht="14.65" customHeight="1" thickBot="1" x14ac:dyDescent="0.3">
      <c r="A49" s="411"/>
      <c r="B49" s="409"/>
      <c r="C49" s="412" t="s">
        <v>813</v>
      </c>
      <c r="D49" s="413"/>
      <c r="E49" s="413"/>
      <c r="F49" s="414"/>
      <c r="G49" s="393"/>
      <c r="H49" s="412" t="s">
        <v>813</v>
      </c>
      <c r="I49" s="413"/>
      <c r="J49" s="413"/>
      <c r="K49" s="414"/>
      <c r="L49" s="393"/>
      <c r="M49" s="412" t="s">
        <v>813</v>
      </c>
      <c r="N49" s="413"/>
      <c r="O49" s="413"/>
      <c r="P49" s="414"/>
      <c r="Q49" s="393"/>
    </row>
    <row r="51" spans="1:17" x14ac:dyDescent="0.25">
      <c r="H51" s="687" t="s">
        <v>723</v>
      </c>
      <c r="I51" s="389" t="s">
        <v>814</v>
      </c>
    </row>
  </sheetData>
  <mergeCells count="4">
    <mergeCell ref="C4:F4"/>
    <mergeCell ref="H4:K4"/>
    <mergeCell ref="M4:P4"/>
    <mergeCell ref="A1:P1"/>
  </mergeCells>
  <pageMargins left="0.7" right="0.7" top="0.75" bottom="0.75" header="0.3" footer="0.3"/>
  <pageSetup orientation="portrait" horizontalDpi="4294967295" verticalDpi="4294967295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/>
  </sheetViews>
  <sheetFormatPr defaultRowHeight="15" x14ac:dyDescent="0.25"/>
  <cols>
    <col min="2" max="2" width="4.7109375" customWidth="1"/>
    <col min="3" max="3" width="41.5703125" customWidth="1"/>
    <col min="4" max="4" width="15" style="273" customWidth="1"/>
    <col min="5" max="5" width="1.5703125" style="312" customWidth="1"/>
    <col min="6" max="6" width="16.42578125" style="1" customWidth="1"/>
    <col min="7" max="7" width="1.5703125" style="11" customWidth="1"/>
    <col min="8" max="8" width="20.85546875" style="1" customWidth="1"/>
    <col min="9" max="9" width="9" style="1" customWidth="1"/>
    <col min="10" max="10" width="22.42578125" style="1" customWidth="1"/>
    <col min="11" max="11" width="1.5703125" style="11" customWidth="1"/>
    <col min="12" max="12" width="13.85546875" style="1" customWidth="1"/>
    <col min="13" max="13" width="1.5703125" style="11" customWidth="1"/>
    <col min="14" max="16" width="19.7109375" style="1" customWidth="1"/>
    <col min="17" max="17" width="9" style="1"/>
    <col min="18" max="18" width="10.42578125" style="1" bestFit="1" customWidth="1"/>
  </cols>
  <sheetData>
    <row r="1" spans="1:18" ht="18.75" x14ac:dyDescent="0.3">
      <c r="A1" s="380" t="str">
        <f>+'Example 6 Assumptions Summary'!K12</f>
        <v>City and Corporation are not in the same financial reporting entity</v>
      </c>
    </row>
    <row r="3" spans="1:18" ht="18.75" x14ac:dyDescent="0.3">
      <c r="A3" s="381" t="s">
        <v>711</v>
      </c>
    </row>
    <row r="6" spans="1:18" x14ac:dyDescent="0.25">
      <c r="B6" t="s">
        <v>611</v>
      </c>
      <c r="D6" s="705" t="s">
        <v>615</v>
      </c>
      <c r="E6" s="705"/>
      <c r="F6" s="705"/>
      <c r="G6" s="705"/>
      <c r="H6" s="705"/>
      <c r="J6" s="705" t="s">
        <v>614</v>
      </c>
      <c r="K6" s="705"/>
      <c r="L6" s="705"/>
      <c r="M6" s="705"/>
      <c r="N6" s="705"/>
      <c r="O6" s="319"/>
      <c r="P6" s="319"/>
    </row>
    <row r="7" spans="1:18" ht="17.25" x14ac:dyDescent="0.4">
      <c r="D7" s="314" t="s">
        <v>19</v>
      </c>
      <c r="E7" s="315"/>
      <c r="F7" s="314" t="s">
        <v>559</v>
      </c>
      <c r="G7" s="315"/>
      <c r="H7" s="314" t="s">
        <v>20</v>
      </c>
      <c r="J7" s="314" t="s">
        <v>19</v>
      </c>
      <c r="K7" s="315"/>
      <c r="L7" s="314" t="s">
        <v>559</v>
      </c>
      <c r="M7" s="315"/>
      <c r="N7" s="314" t="s">
        <v>20</v>
      </c>
      <c r="O7" s="314"/>
      <c r="P7" s="314"/>
    </row>
    <row r="8" spans="1:18" x14ac:dyDescent="0.25">
      <c r="B8" s="313" t="s">
        <v>557</v>
      </c>
      <c r="J8" s="273"/>
      <c r="K8" s="312"/>
    </row>
    <row r="9" spans="1:18" ht="15" customHeight="1" x14ac:dyDescent="0.25">
      <c r="J9" s="273"/>
      <c r="K9" s="312"/>
    </row>
    <row r="10" spans="1:18" x14ac:dyDescent="0.25">
      <c r="C10" t="s">
        <v>2</v>
      </c>
      <c r="D10" s="273">
        <f>-'Ex. 6 Entries - Corp'!F9-'Ex. 6 Entries - Corp'!F15-'Ex. 6 Entries - Corp'!F21-'Ex. 6 Entries - Corp'!F27-'Ex. 6 Entries - Corp'!F33-'Ex. 6 Entries - Corp'!F39+'Example 6 Assumptions Summary'!C7</f>
        <v>40000</v>
      </c>
      <c r="H10" s="1">
        <f>SUM(D10:F10)</f>
        <v>40000</v>
      </c>
      <c r="J10" s="273">
        <f>+'Example 6 Assumptions Summary'!C6-'Ex. 6 Entries - City'!F10+'Ex. 6 Entries - City'!E14+'Ex. 6 Entries - City'!E26+'Ex. 6 Entries - City'!E38+'Ex. 6 Entries - City'!E50+'Ex. 6 Entries - City'!E62+'Ex. 6 Entries - City'!E74-'Ex. 6 Entries - City'!F22-'Ex. 6 Entries - City'!F34-'Ex. 6 Entries - City'!F46-'Ex. 6 Entries - City'!F58-'Ex. 6 Entries - City'!F70</f>
        <v>735000</v>
      </c>
      <c r="K10" s="312"/>
      <c r="N10" s="1">
        <f>SUM(J10:L10)</f>
        <v>735000</v>
      </c>
      <c r="R10" s="1">
        <f>+H10+N10</f>
        <v>775000</v>
      </c>
    </row>
    <row r="11" spans="1:18" x14ac:dyDescent="0.25">
      <c r="C11" t="s">
        <v>48</v>
      </c>
      <c r="H11" s="1">
        <f t="shared" ref="H11:H13" si="0">SUM(D11:F11)</f>
        <v>0</v>
      </c>
      <c r="J11" s="273">
        <f>+'Ex. 6 Entries - City'!E15-'Ex. 6 Entries - City'!F27-'Ex. 6 Entries - City'!F39-'Ex. 6 Entries - City'!F51-'Ex. 6 Entries - City'!F63-'Ex. 6 Entries - City'!F75</f>
        <v>472214</v>
      </c>
      <c r="K11" s="312"/>
      <c r="N11" s="1">
        <f t="shared" ref="N11:N13" si="1">SUM(J11:L11)</f>
        <v>472214</v>
      </c>
      <c r="R11" s="1">
        <f>+H11+N11</f>
        <v>472214</v>
      </c>
    </row>
    <row r="12" spans="1:18" x14ac:dyDescent="0.25">
      <c r="C12" t="s">
        <v>571</v>
      </c>
      <c r="F12" s="11"/>
      <c r="J12" s="273">
        <f>+'Ex. 6 Entries - City'!E8</f>
        <v>25000</v>
      </c>
      <c r="K12" s="312"/>
      <c r="L12" s="11"/>
      <c r="N12" s="1">
        <f t="shared" si="1"/>
        <v>25000</v>
      </c>
      <c r="R12" s="1">
        <f>+H12+N12</f>
        <v>25000</v>
      </c>
    </row>
    <row r="13" spans="1:18" x14ac:dyDescent="0.25">
      <c r="C13" t="s">
        <v>769</v>
      </c>
      <c r="F13" s="11">
        <f>+'Ex. 6 Entries - Corp'!J7-'Ex. 6 Entries - Corp'!K44</f>
        <v>467857</v>
      </c>
      <c r="H13" s="1">
        <f t="shared" si="0"/>
        <v>467857</v>
      </c>
      <c r="J13" s="273"/>
      <c r="K13" s="312"/>
      <c r="L13" s="11">
        <f>+'Ex. 6 Entries - City'!J7-'Ex. 6 Entries - City'!K81</f>
        <v>2339288</v>
      </c>
      <c r="N13" s="1">
        <f t="shared" si="1"/>
        <v>2339288</v>
      </c>
      <c r="R13" s="1">
        <f>+H13+N13</f>
        <v>2807145</v>
      </c>
    </row>
    <row r="14" spans="1:18" x14ac:dyDescent="0.25">
      <c r="C14" s="272" t="s">
        <v>604</v>
      </c>
      <c r="D14" s="316">
        <f>SUM(D10:D13)</f>
        <v>40000</v>
      </c>
      <c r="F14" s="312"/>
      <c r="G14" s="312"/>
      <c r="H14" s="316">
        <f t="shared" ref="H14:N14" si="2">SUM(H10:H13)</f>
        <v>507857</v>
      </c>
      <c r="J14" s="316">
        <f t="shared" si="2"/>
        <v>1232214</v>
      </c>
      <c r="K14" s="312"/>
      <c r="L14" s="312"/>
      <c r="N14" s="316">
        <f t="shared" si="2"/>
        <v>3571502</v>
      </c>
      <c r="O14" s="312"/>
      <c r="P14" s="312"/>
      <c r="R14" s="1">
        <f>+H14+N14</f>
        <v>4079359</v>
      </c>
    </row>
    <row r="15" spans="1:18" x14ac:dyDescent="0.25">
      <c r="C15" s="272"/>
      <c r="F15" s="11"/>
      <c r="J15" s="273"/>
      <c r="K15" s="312"/>
      <c r="L15" s="11"/>
    </row>
    <row r="16" spans="1:18" x14ac:dyDescent="0.25">
      <c r="C16" t="s">
        <v>71</v>
      </c>
      <c r="F16" s="11">
        <f>-'Ex. 6 Entries - Corp'!K9+'Ex. 6 Entries - Corp'!J13+'Ex. 6 Entries - Corp'!J19+'Ex. 6 Entries - Corp'!J25+'Ex. 6 Entries - Corp'!J31+'Ex. 6 Entries - Corp'!J37</f>
        <v>-472214</v>
      </c>
      <c r="H16" s="1">
        <f t="shared" ref="H16" si="3">SUM(D16:F16)</f>
        <v>-472214</v>
      </c>
      <c r="J16" s="273"/>
      <c r="K16" s="312"/>
      <c r="L16" s="11">
        <f>-'Ex. 6 Entries - City'!K9+'Ex. 6 Entries - City'!J20+'Ex. 6 Entries - City'!J32+'Ex. 6 Entries - City'!J44+'Ex. 6 Entries - City'!J56+'Ex. 6 Entries - City'!J68</f>
        <v>-2361067</v>
      </c>
      <c r="N16" s="1">
        <f t="shared" ref="N16" si="4">SUM(J16:L16)</f>
        <v>-2361067</v>
      </c>
      <c r="R16" s="1">
        <f>+H16+N16</f>
        <v>-2833281</v>
      </c>
    </row>
    <row r="17" spans="2:18" x14ac:dyDescent="0.25">
      <c r="C17" s="272" t="s">
        <v>603</v>
      </c>
      <c r="D17" s="316">
        <f>SUM(D16)</f>
        <v>0</v>
      </c>
      <c r="F17" s="312"/>
      <c r="H17" s="316">
        <f>SUM(H16)</f>
        <v>-472214</v>
      </c>
      <c r="J17" s="316">
        <f>SUM(J16)</f>
        <v>0</v>
      </c>
      <c r="L17" s="312"/>
      <c r="N17" s="316">
        <f>SUM(N16)</f>
        <v>-2361067</v>
      </c>
      <c r="O17" s="312"/>
      <c r="P17" s="312"/>
      <c r="R17" s="1">
        <f>+H17+N17</f>
        <v>-2833281</v>
      </c>
    </row>
    <row r="18" spans="2:18" x14ac:dyDescent="0.25">
      <c r="C18" s="272"/>
      <c r="F18" s="11"/>
      <c r="L18" s="11"/>
    </row>
    <row r="19" spans="2:18" x14ac:dyDescent="0.25">
      <c r="C19" t="s">
        <v>556</v>
      </c>
      <c r="F19" s="11"/>
      <c r="J19" s="273">
        <f>-'Ex. 6 Entries - City'!F16+'Ex. 6 Entries - City'!E86</f>
        <v>-467857</v>
      </c>
      <c r="K19" s="312"/>
      <c r="L19" s="11"/>
      <c r="N19" s="1">
        <f>SUM(J19:L19)</f>
        <v>-467857</v>
      </c>
      <c r="R19" s="1">
        <f>+H19+N19</f>
        <v>-467857</v>
      </c>
    </row>
    <row r="20" spans="2:18" x14ac:dyDescent="0.25">
      <c r="C20" s="272" t="s">
        <v>605</v>
      </c>
      <c r="D20" s="316">
        <f>SUM(D19)</f>
        <v>0</v>
      </c>
      <c r="F20" s="312">
        <f>SUM(F19)</f>
        <v>0</v>
      </c>
      <c r="H20" s="316">
        <f>SUM(H19)</f>
        <v>0</v>
      </c>
      <c r="J20" s="316">
        <f>SUM(J19)</f>
        <v>-467857</v>
      </c>
      <c r="K20" s="312"/>
      <c r="L20" s="312">
        <f>SUM(L19)</f>
        <v>0</v>
      </c>
      <c r="N20" s="316">
        <f>SUM(N19)</f>
        <v>-467857</v>
      </c>
      <c r="O20" s="312"/>
      <c r="P20" s="312"/>
      <c r="R20" s="1">
        <f>+H20+N20</f>
        <v>-467857</v>
      </c>
    </row>
    <row r="21" spans="2:18" ht="15.75" thickBot="1" x14ac:dyDescent="0.3">
      <c r="C21" t="s">
        <v>606</v>
      </c>
      <c r="D21" s="318">
        <f>-(+D14+D17+D20)</f>
        <v>-40000</v>
      </c>
      <c r="F21" s="318">
        <f>-SUM(F13:F20)</f>
        <v>4357</v>
      </c>
      <c r="H21" s="318">
        <f>-(+H14+H17+H20)</f>
        <v>-35643</v>
      </c>
      <c r="J21" s="318">
        <f>-(+J14+J17+J20)</f>
        <v>-764357</v>
      </c>
      <c r="L21" s="318">
        <f>-SUM(L13:L19)</f>
        <v>21779</v>
      </c>
      <c r="N21" s="318">
        <f>-(+N14+N17+N20)</f>
        <v>-742578</v>
      </c>
      <c r="O21" s="312"/>
      <c r="P21" s="312"/>
      <c r="R21" s="1">
        <f>+H21+N21</f>
        <v>-778221</v>
      </c>
    </row>
    <row r="22" spans="2:18" ht="15.75" thickTop="1" x14ac:dyDescent="0.25">
      <c r="F22" s="11"/>
      <c r="J22" s="273"/>
      <c r="K22" s="312"/>
    </row>
    <row r="23" spans="2:18" x14ac:dyDescent="0.25">
      <c r="F23" s="11"/>
      <c r="J23" s="273"/>
      <c r="K23" s="312"/>
    </row>
    <row r="24" spans="2:18" x14ac:dyDescent="0.25">
      <c r="D24" s="705" t="s">
        <v>615</v>
      </c>
      <c r="E24" s="705"/>
      <c r="F24" s="705"/>
      <c r="G24" s="705"/>
      <c r="H24" s="705"/>
      <c r="J24" s="882" t="s">
        <v>614</v>
      </c>
      <c r="K24" s="882"/>
      <c r="L24" s="882"/>
      <c r="M24" s="882"/>
      <c r="N24" s="882"/>
    </row>
    <row r="25" spans="2:18" ht="17.25" x14ac:dyDescent="0.4">
      <c r="D25" s="314" t="s">
        <v>19</v>
      </c>
      <c r="E25" s="315"/>
      <c r="F25" s="314" t="s">
        <v>559</v>
      </c>
      <c r="G25" s="315"/>
      <c r="H25" s="314" t="s">
        <v>20</v>
      </c>
      <c r="J25" s="314" t="s">
        <v>19</v>
      </c>
      <c r="K25" s="315"/>
      <c r="L25" s="314" t="s">
        <v>559</v>
      </c>
      <c r="M25" s="315"/>
      <c r="N25" s="314" t="s">
        <v>20</v>
      </c>
    </row>
    <row r="26" spans="2:18" x14ac:dyDescent="0.25">
      <c r="B26" s="313" t="s">
        <v>558</v>
      </c>
      <c r="J26" s="273"/>
      <c r="K26" s="312"/>
    </row>
    <row r="27" spans="2:18" x14ac:dyDescent="0.25">
      <c r="J27" s="273"/>
      <c r="K27" s="312"/>
    </row>
    <row r="28" spans="2:18" x14ac:dyDescent="0.25">
      <c r="C28" t="s">
        <v>50</v>
      </c>
      <c r="H28" s="1">
        <f t="shared" ref="H28:H29" si="5">SUM(D28:F28)</f>
        <v>0</v>
      </c>
      <c r="J28" s="273">
        <f>(-'Ex. 6 Entries - City'!F87)</f>
        <v>-51985</v>
      </c>
      <c r="K28" s="312"/>
      <c r="N28" s="1">
        <f t="shared" ref="N28:N29" si="6">SUM(J28:L28)</f>
        <v>-51985</v>
      </c>
      <c r="R28" s="1">
        <f t="shared" ref="R28:R30" si="7">+H28+N28</f>
        <v>-51985</v>
      </c>
    </row>
    <row r="29" spans="2:18" x14ac:dyDescent="0.25">
      <c r="C29" t="s">
        <v>22</v>
      </c>
      <c r="F29" s="11"/>
      <c r="H29" s="1">
        <f t="shared" si="5"/>
        <v>0</v>
      </c>
      <c r="J29" s="273">
        <f>(-'Ex. 6 Entries - City'!F28-'Ex. 6 Entries - City'!F40-'Ex. 6 Entries - City'!F52-'Ex. 6 Entries - City'!F64-'Ex. 6 Entries - City'!F76)</f>
        <v>-12372</v>
      </c>
      <c r="K29" s="312"/>
      <c r="L29" s="11"/>
      <c r="N29" s="1">
        <f t="shared" si="6"/>
        <v>-12372</v>
      </c>
      <c r="R29" s="1">
        <f t="shared" si="7"/>
        <v>-12372</v>
      </c>
    </row>
    <row r="30" spans="2:18" x14ac:dyDescent="0.25">
      <c r="C30" s="272" t="s">
        <v>613</v>
      </c>
      <c r="D30" s="316">
        <f>SUM(D28:D29)</f>
        <v>0</v>
      </c>
      <c r="F30" s="312">
        <f>SUM(F28:F29)</f>
        <v>0</v>
      </c>
      <c r="H30" s="316">
        <f>SUM(H28:H29)</f>
        <v>0</v>
      </c>
      <c r="J30" s="316">
        <f>SUM(J28:J29)</f>
        <v>-64357</v>
      </c>
      <c r="K30" s="312"/>
      <c r="L30" s="312">
        <f>SUM(L28:L29)</f>
        <v>0</v>
      </c>
      <c r="N30" s="316">
        <f>SUM(N28:N29)</f>
        <v>-64357</v>
      </c>
      <c r="O30" s="312"/>
      <c r="P30" s="312"/>
      <c r="R30" s="1">
        <f t="shared" si="7"/>
        <v>-64357</v>
      </c>
    </row>
    <row r="31" spans="2:18" x14ac:dyDescent="0.25">
      <c r="F31" s="11"/>
      <c r="J31" s="273"/>
      <c r="K31" s="312"/>
      <c r="L31" s="11"/>
    </row>
    <row r="32" spans="2:18" x14ac:dyDescent="0.25">
      <c r="C32" t="s">
        <v>609</v>
      </c>
      <c r="D32" s="273">
        <f>(+'Ex. 6 Entries - Corp'!E14+'Ex. 6 Entries - Corp'!E20+'Ex. 6 Entries - Corp'!E26+'Ex. 6 Entries - Corp'!E32+'Ex. 6 Entries - Corp'!E38+'Ex. 6 Entries - Corp'!E39)</f>
        <v>12372</v>
      </c>
      <c r="F32" s="11">
        <f>+'Ex. 6 Entries - Corp'!J14+'Ex. 6 Entries - Corp'!J20+'Ex. 6 Entries - Corp'!J26+'Ex. 6 Entries - Corp'!J32+'Ex. 6 Entries - Corp'!J38-(+'Ex. 6 Entries - Corp'!E14+'Ex. 6 Entries - Corp'!E20+'Ex. 6 Entries - Corp'!E26+'Ex. 6 Entries - Corp'!E32+'Ex. 6 Entries - Corp'!E38+'Ex. 6 Entries - Corp'!E39)</f>
        <v>0</v>
      </c>
      <c r="H32" s="1">
        <f t="shared" ref="H32:H33" si="8">SUM(D32:F32)</f>
        <v>12372</v>
      </c>
      <c r="J32" s="273">
        <f>(+'Ex. 6 Entries - City'!E57+'Ex. 6 Entries - City'!E69+'Ex. 6 Entries - City'!E21+'Ex. 6 Entries - City'!E33+'Ex. 6 Entries - City'!E45)</f>
        <v>61858</v>
      </c>
      <c r="K32" s="312"/>
      <c r="L32" s="11">
        <v>0</v>
      </c>
      <c r="N32" s="1">
        <f t="shared" ref="N32:N33" si="9">SUM(J32:L32)</f>
        <v>61858</v>
      </c>
      <c r="R32" s="1">
        <f t="shared" ref="R32" si="10">+H32+N32</f>
        <v>74230</v>
      </c>
    </row>
    <row r="33" spans="3:18" x14ac:dyDescent="0.25">
      <c r="C33" t="s">
        <v>608</v>
      </c>
      <c r="D33" s="273">
        <f>(+'Ex. 6 Entries - Corp'!E13+'Ex. 6 Entries - Corp'!E19+'Ex. 6 Entries - Corp'!E25+'Ex. 6 Entries - Corp'!E31+'Ex. 6 Entries - Corp'!E37)</f>
        <v>37628</v>
      </c>
      <c r="F33" s="11">
        <f>(-'Ex. 6 Entries - Corp'!K15-'Ex. 6 Entries - Corp'!K21-'Ex. 6 Entries - Corp'!K27-'Ex. 6 Entries - Corp'!K33-'Ex. 6 Entries - Corp'!K39)</f>
        <v>-37628</v>
      </c>
      <c r="H33" s="1">
        <f t="shared" si="8"/>
        <v>0</v>
      </c>
      <c r="J33" s="273">
        <f>(+'Ex. 6 Entries - City'!E20+'Ex. 6 Entries - City'!E32+'Ex. 6 Entries - City'!E44+'Ex. 6 Entries - City'!E56+'Ex. 6 Entries - City'!E68)</f>
        <v>188142</v>
      </c>
      <c r="K33" s="312"/>
      <c r="L33" s="11">
        <f>(-'Ex. 6 Entries - City'!K46-'Ex. 6 Entries - City'!K58-'Ex. 6 Entries - City'!K70-'Ex. 6 Entries - City'!K22-'Ex. 6 Entries - City'!K34)</f>
        <v>-188142</v>
      </c>
      <c r="N33" s="1">
        <f t="shared" si="9"/>
        <v>0</v>
      </c>
    </row>
    <row r="34" spans="3:18" x14ac:dyDescent="0.25">
      <c r="C34" t="s">
        <v>645</v>
      </c>
      <c r="F34" s="11">
        <f>(+'Ex. 6 Entries - Corp'!J43)</f>
        <v>51985</v>
      </c>
      <c r="H34" s="1">
        <f t="shared" ref="H34" si="11">SUM(D34:F34)</f>
        <v>51985</v>
      </c>
      <c r="J34" s="273"/>
      <c r="K34" s="312"/>
      <c r="L34" s="11">
        <f>(+'Ex. 6 Entries - City'!J80)</f>
        <v>259921</v>
      </c>
      <c r="N34" s="1">
        <f t="shared" ref="N34" si="12">SUM(J34:L34)</f>
        <v>259921</v>
      </c>
      <c r="R34" s="1">
        <f t="shared" ref="R34" si="13">+H34+N34</f>
        <v>311906</v>
      </c>
    </row>
    <row r="35" spans="3:18" x14ac:dyDescent="0.25">
      <c r="C35" t="s">
        <v>560</v>
      </c>
      <c r="D35" s="273">
        <f>(+'Ex. 6 Entries - Corp'!E7)</f>
        <v>519842</v>
      </c>
      <c r="F35" s="11">
        <f>(-'Ex. 6 Entries - Corp'!K10)</f>
        <v>-519842</v>
      </c>
      <c r="H35" s="1">
        <f t="shared" ref="H35:H38" si="14">SUM(D35:F35)</f>
        <v>0</v>
      </c>
      <c r="J35" s="273">
        <f>(+'Ex. 6 Entries - City'!E7)</f>
        <v>2599209</v>
      </c>
      <c r="K35" s="312"/>
      <c r="L35" s="11">
        <f>(-'Ex. 6 Entries - City'!K10)</f>
        <v>-2599209</v>
      </c>
      <c r="N35" s="1">
        <f t="shared" ref="N35:N38" si="15">SUM(J35:L35)</f>
        <v>0</v>
      </c>
    </row>
    <row r="36" spans="3:18" x14ac:dyDescent="0.25">
      <c r="C36" s="272" t="s">
        <v>612</v>
      </c>
      <c r="D36" s="316">
        <f>SUM(D32:D35)</f>
        <v>569842</v>
      </c>
      <c r="F36" s="312">
        <f>SUM(F32:F35)</f>
        <v>-505485</v>
      </c>
      <c r="H36" s="316">
        <f>SUM(H32:H35)</f>
        <v>64357</v>
      </c>
      <c r="J36" s="316">
        <f>SUM(J32:J35)</f>
        <v>2849209</v>
      </c>
      <c r="K36" s="312"/>
      <c r="L36" s="312">
        <f>SUM(L32:L35)</f>
        <v>-2527430</v>
      </c>
      <c r="N36" s="316">
        <f>SUM(N32:N35)</f>
        <v>321779</v>
      </c>
      <c r="O36" s="312"/>
      <c r="P36" s="312"/>
      <c r="R36" s="1">
        <f t="shared" ref="R36" si="16">+H36+N36</f>
        <v>386136</v>
      </c>
    </row>
    <row r="37" spans="3:18" x14ac:dyDescent="0.25">
      <c r="F37" s="11"/>
      <c r="J37" s="273"/>
      <c r="K37" s="312"/>
      <c r="L37" s="11"/>
    </row>
    <row r="38" spans="3:18" x14ac:dyDescent="0.25">
      <c r="C38" t="s">
        <v>518</v>
      </c>
      <c r="D38" s="317">
        <f>-('Ex. 6 Entries - Corp'!F8)</f>
        <v>-509842</v>
      </c>
      <c r="F38" s="12">
        <f>(+'Ex. 6 Entries - Corp'!J8)</f>
        <v>509842</v>
      </c>
      <c r="H38" s="12">
        <f t="shared" si="14"/>
        <v>0</v>
      </c>
      <c r="J38" s="317">
        <f>(-'Ex. 6 Entries - City'!F9)</f>
        <v>-2549209</v>
      </c>
      <c r="K38" s="312"/>
      <c r="L38" s="12">
        <f>(+'Ex. 6 Entries - City'!J8)</f>
        <v>2549209</v>
      </c>
      <c r="N38" s="12">
        <f t="shared" si="15"/>
        <v>0</v>
      </c>
      <c r="O38" s="11"/>
      <c r="P38" s="11"/>
      <c r="R38" s="12"/>
    </row>
    <row r="39" spans="3:18" x14ac:dyDescent="0.25">
      <c r="J39" s="273"/>
      <c r="K39" s="312"/>
    </row>
    <row r="40" spans="3:18" x14ac:dyDescent="0.25">
      <c r="C40" t="s">
        <v>600</v>
      </c>
      <c r="D40" s="273">
        <f>(+D30+D36+D38)</f>
        <v>60000</v>
      </c>
      <c r="F40" s="273">
        <f>SUM(F36:F38)</f>
        <v>4357</v>
      </c>
      <c r="H40" s="273">
        <f>+H30+H36+H38</f>
        <v>64357</v>
      </c>
      <c r="J40" s="273">
        <f>(+J30+J36+J38)</f>
        <v>235643</v>
      </c>
      <c r="K40" s="312"/>
      <c r="L40" s="273">
        <f>+L30+L36+L38</f>
        <v>21779</v>
      </c>
      <c r="N40" s="273">
        <f>+N30+N36+N38</f>
        <v>257422</v>
      </c>
      <c r="O40" s="273"/>
      <c r="P40" s="273"/>
      <c r="R40" s="1">
        <f t="shared" ref="R40:R42" si="17">+H40+N40</f>
        <v>321779</v>
      </c>
    </row>
    <row r="41" spans="3:18" x14ac:dyDescent="0.25">
      <c r="C41" t="s">
        <v>601</v>
      </c>
      <c r="D41" s="312">
        <f>-'Example 6 Assumptions Summary'!D7</f>
        <v>-100000</v>
      </c>
      <c r="F41" s="1">
        <v>0</v>
      </c>
      <c r="H41" s="1">
        <f>SUM(D41:F41)</f>
        <v>-100000</v>
      </c>
      <c r="J41" s="273">
        <f>(-'Example 6 Assumptions Summary'!D6)</f>
        <v>-1000000</v>
      </c>
      <c r="K41" s="312"/>
      <c r="L41" s="1">
        <v>0</v>
      </c>
      <c r="N41" s="1">
        <f>SUM(J41:L41)</f>
        <v>-1000000</v>
      </c>
      <c r="R41" s="1">
        <f t="shared" si="17"/>
        <v>-1100000</v>
      </c>
    </row>
    <row r="42" spans="3:18" ht="15.75" thickBot="1" x14ac:dyDescent="0.3">
      <c r="C42" t="s">
        <v>602</v>
      </c>
      <c r="D42" s="318">
        <f>(+D40+D41)</f>
        <v>-40000</v>
      </c>
      <c r="F42" s="318">
        <f>-(+F40+F41)</f>
        <v>-4357</v>
      </c>
      <c r="H42" s="318">
        <f>+H40+H41</f>
        <v>-35643</v>
      </c>
      <c r="J42" s="318">
        <f>+J40+J41</f>
        <v>-764357</v>
      </c>
      <c r="L42" s="318">
        <f>-(+L40+L41)</f>
        <v>-21779</v>
      </c>
      <c r="N42" s="318">
        <f>+N40+N41</f>
        <v>-742578</v>
      </c>
      <c r="O42" s="312"/>
      <c r="P42" s="312"/>
      <c r="R42" s="1">
        <f t="shared" si="17"/>
        <v>-778221</v>
      </c>
    </row>
    <row r="43" spans="3:18" ht="15.75" thickTop="1" x14ac:dyDescent="0.25">
      <c r="J43" s="273"/>
      <c r="K43" s="312"/>
    </row>
    <row r="44" spans="3:18" x14ac:dyDescent="0.25">
      <c r="J44" s="273"/>
      <c r="K44" s="312"/>
    </row>
    <row r="45" spans="3:18" x14ac:dyDescent="0.25">
      <c r="J45" s="273"/>
      <c r="K45" s="312"/>
    </row>
    <row r="46" spans="3:18" x14ac:dyDescent="0.25">
      <c r="J46" s="273"/>
      <c r="K46" s="312"/>
    </row>
    <row r="47" spans="3:18" x14ac:dyDescent="0.25">
      <c r="J47" s="273"/>
      <c r="K47" s="312"/>
    </row>
    <row r="48" spans="3:18" x14ac:dyDescent="0.25">
      <c r="J48" s="273"/>
      <c r="K48" s="312"/>
    </row>
    <row r="49" spans="10:11" x14ac:dyDescent="0.25">
      <c r="J49" s="273"/>
      <c r="K49" s="312"/>
    </row>
  </sheetData>
  <mergeCells count="1">
    <mergeCell ref="J24:N24"/>
  </mergeCells>
  <pageMargins left="0.7" right="0.7" top="0.75" bottom="0.75" header="0.3" footer="0.3"/>
  <pageSetup orientation="landscape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10" sqref="C10"/>
    </sheetView>
  </sheetViews>
  <sheetFormatPr defaultColWidth="9" defaultRowHeight="18.75" x14ac:dyDescent="0.3"/>
  <cols>
    <col min="1" max="1" width="9" style="60"/>
    <col min="2" max="2" width="5.5703125" style="60" customWidth="1"/>
    <col min="3" max="3" width="64.140625" style="60" customWidth="1"/>
    <col min="4" max="4" width="18" style="96" customWidth="1"/>
    <col min="5" max="5" width="5" style="96" customWidth="1"/>
    <col min="6" max="6" width="15" style="96" hidden="1" customWidth="1"/>
    <col min="7" max="7" width="16.42578125" style="96" hidden="1" customWidth="1"/>
    <col min="8" max="8" width="15" style="96" customWidth="1"/>
    <col min="9" max="16384" width="9" style="60"/>
  </cols>
  <sheetData>
    <row r="1" spans="1:8" x14ac:dyDescent="0.3">
      <c r="A1" s="380" t="str">
        <f>+'Example 6 Assumptions Summary'!K13</f>
        <v>Corporation is a discretely presented component unit of the City</v>
      </c>
    </row>
    <row r="2" spans="1:8" x14ac:dyDescent="0.3">
      <c r="A2" s="380"/>
    </row>
    <row r="3" spans="1:8" x14ac:dyDescent="0.3">
      <c r="A3" s="381" t="s">
        <v>711</v>
      </c>
    </row>
    <row r="5" spans="1:8" x14ac:dyDescent="0.3">
      <c r="D5" s="706" t="s">
        <v>599</v>
      </c>
      <c r="E5" s="706"/>
      <c r="F5" s="706"/>
      <c r="G5" s="706"/>
      <c r="H5" s="706"/>
    </row>
    <row r="6" spans="1:8" ht="39.75" customHeight="1" x14ac:dyDescent="0.3">
      <c r="B6" s="60" t="s">
        <v>611</v>
      </c>
      <c r="D6" s="339" t="s">
        <v>20</v>
      </c>
      <c r="F6" s="340" t="s">
        <v>19</v>
      </c>
      <c r="G6" s="340" t="s">
        <v>559</v>
      </c>
      <c r="H6" s="339" t="s">
        <v>598</v>
      </c>
    </row>
    <row r="7" spans="1:8" x14ac:dyDescent="0.3">
      <c r="D7" s="341"/>
      <c r="F7" s="340"/>
      <c r="G7" s="340"/>
      <c r="H7" s="342" t="s">
        <v>554</v>
      </c>
    </row>
    <row r="8" spans="1:8" x14ac:dyDescent="0.3">
      <c r="B8" s="343" t="s">
        <v>557</v>
      </c>
    </row>
    <row r="9" spans="1:8" ht="15" customHeight="1" x14ac:dyDescent="0.3"/>
    <row r="10" spans="1:8" x14ac:dyDescent="0.3">
      <c r="C10" s="60" t="s">
        <v>2</v>
      </c>
      <c r="D10" s="96">
        <f>+'Example 6 Scenario A '!N10</f>
        <v>735000</v>
      </c>
      <c r="F10" s="96">
        <f>-'Ex. 6 Entries - Corp'!F9-'Ex. 6 Entries - Corp'!F15-'Ex. 6 Entries - Corp'!F21-'Ex. 6 Entries - Corp'!F27-'Ex. 6 Entries - Corp'!F33-'Ex. 6 Entries - Corp'!F39+'Example 6 Assumptions Summary'!C7</f>
        <v>40000</v>
      </c>
      <c r="H10" s="96">
        <f>+'Example 6 Scenario A '!H10</f>
        <v>40000</v>
      </c>
    </row>
    <row r="11" spans="1:8" x14ac:dyDescent="0.3">
      <c r="C11" s="60" t="s">
        <v>683</v>
      </c>
      <c r="D11" s="96">
        <f>+'Example 6 Scenario A '!N11</f>
        <v>472214</v>
      </c>
      <c r="H11" s="96">
        <v>0</v>
      </c>
    </row>
    <row r="12" spans="1:8" x14ac:dyDescent="0.3">
      <c r="C12" s="60" t="s">
        <v>571</v>
      </c>
      <c r="D12" s="96">
        <f>+'Example 6 Scenario A '!N12</f>
        <v>25000</v>
      </c>
      <c r="H12" s="96">
        <v>0</v>
      </c>
    </row>
    <row r="13" spans="1:8" x14ac:dyDescent="0.3">
      <c r="C13" s="60" t="s">
        <v>769</v>
      </c>
      <c r="D13" s="96">
        <f>+'Example 6 Scenario A '!N13</f>
        <v>2339288</v>
      </c>
      <c r="G13" s="96">
        <f>+'Ex. 6 Entries - Corp'!J7-'Ex. 6 Entries - Corp'!K44</f>
        <v>467857</v>
      </c>
    </row>
    <row r="14" spans="1:8" x14ac:dyDescent="0.3">
      <c r="C14" s="60" t="s">
        <v>770</v>
      </c>
      <c r="H14" s="96">
        <f>+'Example 6 Scenario A '!H13</f>
        <v>467857</v>
      </c>
    </row>
    <row r="15" spans="1:8" x14ac:dyDescent="0.3">
      <c r="C15" s="152" t="s">
        <v>604</v>
      </c>
      <c r="D15" s="344">
        <f>SUM(D10:D13)</f>
        <v>3571502</v>
      </c>
      <c r="H15" s="344">
        <f>SUM(H10:H14)</f>
        <v>507857</v>
      </c>
    </row>
    <row r="17" spans="2:8" x14ac:dyDescent="0.3">
      <c r="C17" s="60" t="s">
        <v>71</v>
      </c>
      <c r="D17" s="96">
        <f>+'Example 6 Scenario A '!N16</f>
        <v>-2361067</v>
      </c>
      <c r="G17" s="96">
        <f>-'Ex. 6 Entries - Corp'!K9+'Ex. 6 Entries - Corp'!J13+'Ex. 6 Entries - Corp'!J19+'Ex. 6 Entries - Corp'!J25+'Ex. 6 Entries - Corp'!J31+'Ex. 6 Entries - Corp'!J37</f>
        <v>-472214</v>
      </c>
    </row>
    <row r="18" spans="2:8" x14ac:dyDescent="0.3">
      <c r="C18" s="60" t="s">
        <v>684</v>
      </c>
      <c r="D18" s="96">
        <v>0</v>
      </c>
      <c r="H18" s="96">
        <f>+'Example 6 Scenario A '!H16</f>
        <v>-472214</v>
      </c>
    </row>
    <row r="19" spans="2:8" x14ac:dyDescent="0.3">
      <c r="C19" s="152" t="s">
        <v>603</v>
      </c>
      <c r="D19" s="344">
        <f>SUM(D17:D18)</f>
        <v>-2361067</v>
      </c>
      <c r="H19" s="344">
        <f>SUM(H17:H18)</f>
        <v>-472214</v>
      </c>
    </row>
    <row r="20" spans="2:8" x14ac:dyDescent="0.3">
      <c r="C20" s="152"/>
    </row>
    <row r="21" spans="2:8" x14ac:dyDescent="0.3">
      <c r="C21" s="60" t="s">
        <v>556</v>
      </c>
      <c r="D21" s="96">
        <f>+'Example 6 Scenario A '!N19</f>
        <v>-467857</v>
      </c>
      <c r="H21" s="96">
        <v>0</v>
      </c>
    </row>
    <row r="22" spans="2:8" x14ac:dyDescent="0.3">
      <c r="C22" s="152" t="s">
        <v>685</v>
      </c>
      <c r="D22" s="344">
        <f>SUM(D21)</f>
        <v>-467857</v>
      </c>
      <c r="H22" s="344">
        <f>SUM(H21)</f>
        <v>0</v>
      </c>
    </row>
    <row r="24" spans="2:8" ht="19.5" thickBot="1" x14ac:dyDescent="0.35">
      <c r="C24" s="60" t="s">
        <v>616</v>
      </c>
      <c r="D24" s="345">
        <f>(+D15+D19+D22)</f>
        <v>742578</v>
      </c>
      <c r="H24" s="345">
        <f>(+H15+H19+H22)</f>
        <v>35643</v>
      </c>
    </row>
    <row r="25" spans="2:8" ht="19.5" thickTop="1" x14ac:dyDescent="0.3">
      <c r="D25" s="49"/>
      <c r="H25" s="49"/>
    </row>
    <row r="26" spans="2:8" x14ac:dyDescent="0.3">
      <c r="D26" s="49"/>
      <c r="H26" s="49"/>
    </row>
    <row r="27" spans="2:8" x14ac:dyDescent="0.3">
      <c r="D27" s="706" t="s">
        <v>599</v>
      </c>
      <c r="E27" s="706"/>
      <c r="F27" s="706"/>
      <c r="G27" s="706"/>
      <c r="H27" s="706"/>
    </row>
    <row r="28" spans="2:8" ht="45" customHeight="1" x14ac:dyDescent="0.3">
      <c r="D28" s="339" t="s">
        <v>20</v>
      </c>
      <c r="F28" s="340" t="s">
        <v>19</v>
      </c>
      <c r="G28" s="340" t="s">
        <v>559</v>
      </c>
      <c r="H28" s="339" t="s">
        <v>598</v>
      </c>
    </row>
    <row r="29" spans="2:8" x14ac:dyDescent="0.3">
      <c r="D29" s="341"/>
      <c r="F29" s="340"/>
      <c r="G29" s="340"/>
      <c r="H29" s="342" t="s">
        <v>554</v>
      </c>
    </row>
    <row r="30" spans="2:8" x14ac:dyDescent="0.3">
      <c r="B30" s="343" t="s">
        <v>558</v>
      </c>
    </row>
    <row r="32" spans="2:8" x14ac:dyDescent="0.3">
      <c r="C32" s="346" t="s">
        <v>50</v>
      </c>
      <c r="D32" s="96">
        <f>+'Example 6 Scenario A '!N28</f>
        <v>-51985</v>
      </c>
      <c r="H32" s="96">
        <v>0</v>
      </c>
    </row>
    <row r="33" spans="3:8" x14ac:dyDescent="0.3">
      <c r="C33" s="60" t="s">
        <v>22</v>
      </c>
      <c r="D33" s="96">
        <f>+'Example 6 Scenario A '!N29</f>
        <v>-12372</v>
      </c>
      <c r="H33" s="96">
        <v>0</v>
      </c>
    </row>
    <row r="34" spans="3:8" x14ac:dyDescent="0.3">
      <c r="C34" s="152" t="s">
        <v>607</v>
      </c>
      <c r="D34" s="344">
        <f>SUM(D32:D33)</f>
        <v>-64357</v>
      </c>
      <c r="H34" s="344">
        <f>SUM(H32:H33)</f>
        <v>0</v>
      </c>
    </row>
    <row r="36" spans="3:8" x14ac:dyDescent="0.3">
      <c r="C36" s="60" t="s">
        <v>609</v>
      </c>
      <c r="D36" s="96">
        <f>+'Example 6 Scenario A '!N32</f>
        <v>61858</v>
      </c>
      <c r="F36" s="96">
        <f>+'Ex. 6 Entries - Corp'!E14+'Ex. 6 Entries - Corp'!E20+'Ex. 6 Entries - Corp'!E26+'Ex. 6 Entries - Corp'!E32+'Ex. 6 Entries - Corp'!E38+'Ex. 6 Entries - Corp'!E39</f>
        <v>12372</v>
      </c>
      <c r="G36" s="96">
        <f>+'Ex. 6 Entries - Corp'!J14+'Ex. 6 Entries - Corp'!J20+'Ex. 6 Entries - Corp'!J26+'Ex. 6 Entries - Corp'!J32+'Ex. 6 Entries - Corp'!J38-(+'Ex. 6 Entries - Corp'!E14+'Ex. 6 Entries - Corp'!E20+'Ex. 6 Entries - Corp'!E26+'Ex. 6 Entries - Corp'!E32+'Ex. 6 Entries - Corp'!E38+'Ex. 6 Entries - Corp'!E39)</f>
        <v>0</v>
      </c>
      <c r="H36" s="96">
        <f>+'Example 6 Scenario A '!H32</f>
        <v>12372</v>
      </c>
    </row>
    <row r="37" spans="3:8" x14ac:dyDescent="0.3">
      <c r="C37" s="306"/>
    </row>
    <row r="38" spans="3:8" x14ac:dyDescent="0.3">
      <c r="C38" s="60" t="s">
        <v>645</v>
      </c>
      <c r="D38" s="96">
        <f>+'Example 6 Scenario A '!N34</f>
        <v>259921</v>
      </c>
      <c r="G38" s="96">
        <f>+'Ex. 6 Entries - Corp'!J43</f>
        <v>51985</v>
      </c>
      <c r="H38" s="96">
        <f>+'Example 6 Scenario A '!H34</f>
        <v>51985</v>
      </c>
    </row>
    <row r="39" spans="3:8" x14ac:dyDescent="0.3">
      <c r="C39" s="306"/>
    </row>
    <row r="40" spans="3:8" x14ac:dyDescent="0.3">
      <c r="C40" s="152" t="s">
        <v>612</v>
      </c>
      <c r="D40" s="344">
        <f>SUM(D36:D39)</f>
        <v>321779</v>
      </c>
      <c r="H40" s="344">
        <f>SUM(H36:H38)</f>
        <v>64357</v>
      </c>
    </row>
    <row r="42" spans="3:8" x14ac:dyDescent="0.3">
      <c r="C42" s="60" t="s">
        <v>600</v>
      </c>
      <c r="D42" s="96">
        <f>+D34+D40</f>
        <v>257422</v>
      </c>
      <c r="H42" s="96">
        <f>+H34+H40</f>
        <v>64357</v>
      </c>
    </row>
    <row r="43" spans="3:8" x14ac:dyDescent="0.3">
      <c r="C43" s="60" t="s">
        <v>601</v>
      </c>
      <c r="D43" s="96">
        <f>+'Example 6 Scenario A '!N41</f>
        <v>-1000000</v>
      </c>
      <c r="F43" s="96">
        <f>-'Example 6 Assumptions Summary'!D7</f>
        <v>-100000</v>
      </c>
      <c r="H43" s="96">
        <f>+'Example 6 Scenario A '!H41</f>
        <v>-100000</v>
      </c>
    </row>
    <row r="44" spans="3:8" ht="19.5" thickBot="1" x14ac:dyDescent="0.35">
      <c r="C44" s="60" t="s">
        <v>602</v>
      </c>
      <c r="D44" s="345">
        <f>SUM(D42:D43)</f>
        <v>-742578</v>
      </c>
      <c r="H44" s="345">
        <f>SUM(H42:H43)</f>
        <v>-35643</v>
      </c>
    </row>
    <row r="45" spans="3:8" ht="19.5" thickTop="1" x14ac:dyDescent="0.3"/>
  </sheetData>
  <pageMargins left="0.7" right="0.7" top="0.75" bottom="0.75" header="0.3" footer="0.3"/>
  <pageSetup paperSize="5" orientation="landscape" horizontalDpi="4294967295" verticalDpi="4294967295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workbookViewId="0">
      <selection activeCell="M18" sqref="M18"/>
    </sheetView>
  </sheetViews>
  <sheetFormatPr defaultColWidth="9" defaultRowHeight="18.75" x14ac:dyDescent="0.3"/>
  <cols>
    <col min="1" max="1" width="9" style="60"/>
    <col min="2" max="2" width="7" style="60" customWidth="1"/>
    <col min="3" max="3" width="51.42578125" style="60" customWidth="1"/>
    <col min="4" max="4" width="17" style="96" customWidth="1"/>
    <col min="5" max="5" width="1.7109375" style="49" customWidth="1"/>
    <col min="6" max="6" width="17.28515625" style="96" customWidth="1"/>
    <col min="7" max="7" width="3.5703125" style="96" customWidth="1"/>
    <col min="8" max="8" width="1.5703125" style="96" customWidth="1"/>
    <col min="9" max="9" width="15" style="96" customWidth="1"/>
    <col min="10" max="10" width="1.5703125" style="96" customWidth="1"/>
    <col min="11" max="11" width="18.140625" style="96" customWidth="1"/>
    <col min="12" max="12" width="1.5703125" style="96" customWidth="1"/>
    <col min="13" max="13" width="17.7109375" style="96" customWidth="1"/>
    <col min="14" max="14" width="9" style="96" customWidth="1"/>
    <col min="15" max="15" width="17" style="96" customWidth="1"/>
    <col min="16" max="16" width="1.5703125" style="49" customWidth="1"/>
    <col min="17" max="17" width="15" style="96" customWidth="1"/>
    <col min="18" max="18" width="4" style="96" customWidth="1"/>
    <col min="19" max="19" width="1.5703125" style="96" customWidth="1"/>
    <col min="20" max="20" width="15.42578125" style="96" bestFit="1" customWidth="1"/>
    <col min="21" max="21" width="1.5703125" style="96" customWidth="1"/>
    <col min="22" max="22" width="17.140625" style="96" bestFit="1" customWidth="1"/>
    <col min="23" max="23" width="1.5703125" style="96" customWidth="1"/>
    <col min="24" max="24" width="17.85546875" style="96" bestFit="1" customWidth="1"/>
    <col min="25" max="25" width="9" style="96"/>
    <col min="26" max="26" width="17.42578125" style="96" customWidth="1"/>
    <col min="27" max="16384" width="9" style="60"/>
  </cols>
  <sheetData>
    <row r="1" spans="1:13" x14ac:dyDescent="0.3">
      <c r="A1" s="380" t="str">
        <f>+'Example 6 Assumptions Summary'!K14</f>
        <v>Corporation is a blended presented component unit of the City</v>
      </c>
    </row>
    <row r="3" spans="1:13" x14ac:dyDescent="0.3">
      <c r="A3" s="381" t="s">
        <v>711</v>
      </c>
    </row>
    <row r="5" spans="1:13" x14ac:dyDescent="0.3">
      <c r="B5" s="60" t="str">
        <f>B50</f>
        <v>Debit/(Credit)</v>
      </c>
      <c r="D5" s="883" t="s">
        <v>674</v>
      </c>
      <c r="E5" s="883"/>
      <c r="F5" s="883"/>
      <c r="G5" s="883"/>
      <c r="H5" s="883"/>
      <c r="I5" s="883"/>
      <c r="J5" s="883"/>
      <c r="K5" s="883"/>
      <c r="L5" s="352"/>
      <c r="M5" s="353"/>
    </row>
    <row r="6" spans="1:13" ht="38.65" customHeight="1" x14ac:dyDescent="0.3">
      <c r="D6" s="884" t="s">
        <v>690</v>
      </c>
      <c r="E6" s="885"/>
      <c r="F6" s="885"/>
      <c r="G6" s="341"/>
      <c r="H6" s="341"/>
      <c r="I6" s="889" t="str">
        <f>V51</f>
        <v>Adjustments</v>
      </c>
      <c r="J6" s="341"/>
      <c r="K6" s="887" t="s">
        <v>671</v>
      </c>
      <c r="L6" s="353"/>
      <c r="M6" s="353"/>
    </row>
    <row r="7" spans="1:13" ht="58.15" customHeight="1" x14ac:dyDescent="0.45">
      <c r="D7" s="365" t="s">
        <v>672</v>
      </c>
      <c r="E7" s="54"/>
      <c r="F7" s="366" t="s">
        <v>673</v>
      </c>
      <c r="G7" s="364"/>
      <c r="H7" s="364"/>
      <c r="I7" s="890"/>
      <c r="J7" s="347">
        <f t="shared" ref="J7" si="0">J51</f>
        <v>0</v>
      </c>
      <c r="K7" s="888"/>
      <c r="L7" s="347"/>
      <c r="M7" s="348"/>
    </row>
    <row r="8" spans="1:13" x14ac:dyDescent="0.3">
      <c r="B8" s="343" t="str">
        <f>B52</f>
        <v>Position statement</v>
      </c>
      <c r="F8" s="163"/>
      <c r="G8" s="163"/>
      <c r="H8" s="163"/>
      <c r="M8" s="49"/>
    </row>
    <row r="9" spans="1:13" x14ac:dyDescent="0.3">
      <c r="F9" s="163"/>
      <c r="G9" s="163"/>
      <c r="H9" s="163"/>
      <c r="M9" s="49"/>
    </row>
    <row r="10" spans="1:13" x14ac:dyDescent="0.3">
      <c r="C10" s="60" t="str">
        <f t="shared" ref="C10:J10" si="1">C54</f>
        <v>Cash</v>
      </c>
      <c r="D10" s="96">
        <f>T54</f>
        <v>735000</v>
      </c>
      <c r="F10" s="163">
        <f>I54</f>
        <v>40000</v>
      </c>
      <c r="G10" s="163"/>
      <c r="H10" s="163"/>
      <c r="J10" s="96">
        <f t="shared" si="1"/>
        <v>0</v>
      </c>
      <c r="K10" s="96">
        <f>SUM(D10:I10)</f>
        <v>775000</v>
      </c>
      <c r="M10" s="49"/>
    </row>
    <row r="11" spans="1:13" x14ac:dyDescent="0.3">
      <c r="C11" s="60" t="str">
        <f t="shared" ref="C11:J11" si="2">C55</f>
        <v>Lease receivable</v>
      </c>
      <c r="F11" s="163"/>
      <c r="G11" s="163"/>
      <c r="H11" s="163"/>
      <c r="J11" s="96">
        <f t="shared" si="2"/>
        <v>0</v>
      </c>
      <c r="K11" s="96">
        <f t="shared" ref="K11:K13" si="3">SUM(D11:I11)</f>
        <v>0</v>
      </c>
      <c r="M11" s="49"/>
    </row>
    <row r="12" spans="1:13" x14ac:dyDescent="0.3">
      <c r="C12" s="60" t="str">
        <f t="shared" ref="C12:J12" si="4">C56</f>
        <v>Damage deposit</v>
      </c>
      <c r="D12" s="96">
        <f>T56</f>
        <v>25000</v>
      </c>
      <c r="F12" s="163"/>
      <c r="G12" s="163"/>
      <c r="H12" s="163"/>
      <c r="J12" s="96">
        <f t="shared" si="4"/>
        <v>0</v>
      </c>
      <c r="K12" s="96">
        <f t="shared" si="3"/>
        <v>25000</v>
      </c>
      <c r="M12" s="49"/>
    </row>
    <row r="13" spans="1:13" x14ac:dyDescent="0.3">
      <c r="C13" s="60" t="str">
        <f t="shared" ref="C13:J13" si="5">C57</f>
        <v>Lease asset</v>
      </c>
      <c r="F13" s="163"/>
      <c r="G13" s="163"/>
      <c r="H13" s="163"/>
      <c r="I13" s="96">
        <f>V57</f>
        <v>2339288</v>
      </c>
      <c r="J13" s="96">
        <f t="shared" si="5"/>
        <v>0</v>
      </c>
      <c r="K13" s="96">
        <f t="shared" si="3"/>
        <v>2339288</v>
      </c>
      <c r="M13" s="49"/>
    </row>
    <row r="14" spans="1:13" x14ac:dyDescent="0.3">
      <c r="C14" s="152" t="str">
        <f t="shared" ref="C14:J14" si="6">C58</f>
        <v>Total assets</v>
      </c>
      <c r="D14" s="344">
        <f>SUM(D10:D13)</f>
        <v>760000</v>
      </c>
      <c r="F14" s="344">
        <f>SUM(F10:F13)</f>
        <v>40000</v>
      </c>
      <c r="G14" s="49"/>
      <c r="H14" s="56"/>
      <c r="I14" s="344">
        <f>SUM(I10:I13)</f>
        <v>2339288</v>
      </c>
      <c r="J14" s="96">
        <f t="shared" si="6"/>
        <v>0</v>
      </c>
      <c r="K14" s="344">
        <f>SUM(K10:K13)</f>
        <v>3139288</v>
      </c>
      <c r="M14" s="49"/>
    </row>
    <row r="15" spans="1:13" x14ac:dyDescent="0.3">
      <c r="C15" s="152"/>
      <c r="F15" s="163"/>
      <c r="G15" s="163"/>
      <c r="H15" s="163"/>
      <c r="M15" s="49"/>
    </row>
    <row r="16" spans="1:13" x14ac:dyDescent="0.3">
      <c r="C16" s="60" t="str">
        <f t="shared" ref="C16:J16" si="7">C60</f>
        <v>Lease liability</v>
      </c>
      <c r="F16" s="163"/>
      <c r="G16" s="163"/>
      <c r="H16" s="163"/>
      <c r="I16" s="96">
        <f>V60</f>
        <v>-2361067</v>
      </c>
      <c r="J16" s="96">
        <f t="shared" si="7"/>
        <v>0</v>
      </c>
      <c r="K16" s="96">
        <f>SUM(D16:I16)</f>
        <v>-2361067</v>
      </c>
      <c r="M16" s="49"/>
    </row>
    <row r="17" spans="2:13" x14ac:dyDescent="0.3">
      <c r="C17" s="152" t="str">
        <f t="shared" ref="C17:J17" si="8">C61</f>
        <v>Total liabilities</v>
      </c>
      <c r="D17" s="344">
        <f>SUM(D16)</f>
        <v>0</v>
      </c>
      <c r="F17" s="344">
        <f>SUM(F16)</f>
        <v>0</v>
      </c>
      <c r="G17" s="49"/>
      <c r="H17" s="56">
        <f>SUM(D17:F17)</f>
        <v>0</v>
      </c>
      <c r="I17" s="344">
        <f>SUM(I16)</f>
        <v>-2361067</v>
      </c>
      <c r="J17" s="96">
        <f t="shared" si="8"/>
        <v>0</v>
      </c>
      <c r="K17" s="344">
        <f>SUM(K16)</f>
        <v>-2361067</v>
      </c>
      <c r="M17" s="49"/>
    </row>
    <row r="18" spans="2:13" x14ac:dyDescent="0.3">
      <c r="C18" s="152"/>
      <c r="F18" s="163"/>
      <c r="G18" s="163"/>
      <c r="H18" s="163"/>
      <c r="J18" s="96">
        <f t="shared" ref="J18" si="9">J62</f>
        <v>0</v>
      </c>
      <c r="M18" s="49"/>
    </row>
    <row r="19" spans="2:13" x14ac:dyDescent="0.3">
      <c r="C19" s="60" t="str">
        <f t="shared" ref="C19:J19" si="10">C63</f>
        <v>Deferred inflows of resources</v>
      </c>
      <c r="H19" s="163"/>
      <c r="J19" s="96">
        <f t="shared" si="10"/>
        <v>0</v>
      </c>
      <c r="M19" s="49"/>
    </row>
    <row r="20" spans="2:13" x14ac:dyDescent="0.3">
      <c r="C20" s="152" t="str">
        <f t="shared" ref="C20" si="11">C64</f>
        <v>Total deferred inflows of resources</v>
      </c>
      <c r="D20" s="344"/>
      <c r="F20" s="344"/>
      <c r="G20" s="49"/>
      <c r="H20" s="56"/>
      <c r="I20" s="344"/>
      <c r="K20" s="344"/>
      <c r="M20" s="49"/>
    </row>
    <row r="21" spans="2:13" ht="19.5" thickBot="1" x14ac:dyDescent="0.35">
      <c r="C21" s="60" t="str">
        <f t="shared" ref="C21:J21" si="12">C65</f>
        <v>Fund balance/net position</v>
      </c>
      <c r="D21" s="345">
        <f>-(+D14+D17+D20)</f>
        <v>-760000</v>
      </c>
      <c r="F21" s="345">
        <f>-(+F14+F17+F20)</f>
        <v>-40000</v>
      </c>
      <c r="G21" s="49"/>
      <c r="H21" s="56"/>
      <c r="I21" s="345">
        <f>-(+I14+I17+I20)</f>
        <v>21779</v>
      </c>
      <c r="J21" s="96">
        <f t="shared" si="12"/>
        <v>0</v>
      </c>
      <c r="K21" s="345">
        <f>-(+K14+K17+K20)</f>
        <v>-778221</v>
      </c>
      <c r="M21" s="49"/>
    </row>
    <row r="22" spans="2:13" ht="19.5" thickTop="1" x14ac:dyDescent="0.3">
      <c r="D22" s="49"/>
      <c r="F22" s="49"/>
      <c r="G22" s="49"/>
      <c r="H22" s="56"/>
      <c r="I22" s="49"/>
      <c r="K22" s="49"/>
      <c r="M22" s="49"/>
    </row>
    <row r="23" spans="2:13" x14ac:dyDescent="0.3">
      <c r="D23" s="49"/>
      <c r="F23" s="49"/>
      <c r="G23" s="49"/>
      <c r="H23" s="56"/>
      <c r="I23" s="49"/>
      <c r="K23" s="49"/>
      <c r="M23" s="49"/>
    </row>
    <row r="24" spans="2:13" x14ac:dyDescent="0.3">
      <c r="D24" s="883" t="s">
        <v>674</v>
      </c>
      <c r="E24" s="883"/>
      <c r="F24" s="883"/>
      <c r="G24" s="883"/>
      <c r="H24" s="883"/>
      <c r="I24" s="883"/>
      <c r="J24" s="883"/>
      <c r="K24" s="883"/>
      <c r="M24" s="49"/>
    </row>
    <row r="25" spans="2:13" x14ac:dyDescent="0.3">
      <c r="D25" s="884" t="s">
        <v>690</v>
      </c>
      <c r="E25" s="885"/>
      <c r="F25" s="885"/>
      <c r="G25" s="341"/>
      <c r="H25" s="341"/>
      <c r="I25" s="889" t="str">
        <f>V51</f>
        <v>Adjustments</v>
      </c>
      <c r="J25" s="341"/>
      <c r="K25" s="887" t="s">
        <v>671</v>
      </c>
      <c r="M25" s="49"/>
    </row>
    <row r="26" spans="2:13" ht="58.5" x14ac:dyDescent="0.45">
      <c r="D26" s="682" t="s">
        <v>672</v>
      </c>
      <c r="E26" s="54"/>
      <c r="F26" s="366" t="s">
        <v>673</v>
      </c>
      <c r="G26" s="364"/>
      <c r="H26" s="364"/>
      <c r="I26" s="890"/>
      <c r="J26" s="347">
        <f t="shared" ref="J26" si="13">J72</f>
        <v>0</v>
      </c>
      <c r="K26" s="888"/>
      <c r="M26" s="49"/>
    </row>
    <row r="27" spans="2:13" x14ac:dyDescent="0.3">
      <c r="B27" s="343" t="str">
        <f>B70</f>
        <v>Operating statement</v>
      </c>
      <c r="F27" s="163"/>
      <c r="G27" s="163"/>
      <c r="H27" s="163"/>
      <c r="J27" s="96">
        <f t="shared" ref="J27" si="14">J70</f>
        <v>0</v>
      </c>
      <c r="M27" s="49"/>
    </row>
    <row r="28" spans="2:13" ht="11.25" customHeight="1" x14ac:dyDescent="0.3">
      <c r="F28" s="163"/>
      <c r="G28" s="163"/>
      <c r="H28" s="163"/>
      <c r="J28" s="96">
        <f t="shared" ref="J28" si="15">J71</f>
        <v>0</v>
      </c>
      <c r="M28" s="49"/>
    </row>
    <row r="29" spans="2:13" x14ac:dyDescent="0.3">
      <c r="C29" s="60" t="str">
        <f t="shared" ref="C29:J29" si="16">C72</f>
        <v>Lease revenue</v>
      </c>
      <c r="D29" s="96">
        <f>T72</f>
        <v>-60000</v>
      </c>
      <c r="F29" s="163"/>
      <c r="G29" s="163"/>
      <c r="H29" s="163"/>
      <c r="J29" s="96">
        <f t="shared" si="16"/>
        <v>0</v>
      </c>
      <c r="K29" s="96">
        <f>SUM(D29:I29)</f>
        <v>-60000</v>
      </c>
      <c r="M29" s="49"/>
    </row>
    <row r="30" spans="2:13" x14ac:dyDescent="0.3">
      <c r="C30" s="60" t="str">
        <f t="shared" ref="C30:J30" si="17">C73</f>
        <v>Interest income</v>
      </c>
      <c r="F30" s="163"/>
      <c r="G30" s="163"/>
      <c r="H30" s="163"/>
      <c r="J30" s="96">
        <f t="shared" si="17"/>
        <v>0</v>
      </c>
      <c r="K30" s="96">
        <f>SUM(D30:I30)</f>
        <v>0</v>
      </c>
      <c r="M30" s="49"/>
    </row>
    <row r="31" spans="2:13" x14ac:dyDescent="0.3">
      <c r="C31" s="152" t="str">
        <f t="shared" ref="C31:J31" si="18">C74</f>
        <v>Total revenues</v>
      </c>
      <c r="D31" s="344">
        <f>SUM(D29:D30)</f>
        <v>-60000</v>
      </c>
      <c r="F31" s="344">
        <f>SUM(F29:F30)</f>
        <v>0</v>
      </c>
      <c r="G31" s="49"/>
      <c r="H31" s="56"/>
      <c r="I31" s="344">
        <f>SUM(I29:I30)</f>
        <v>0</v>
      </c>
      <c r="J31" s="96">
        <f t="shared" si="18"/>
        <v>0</v>
      </c>
      <c r="K31" s="344">
        <f>SUM(K29:K30)</f>
        <v>-60000</v>
      </c>
      <c r="M31" s="49"/>
    </row>
    <row r="32" spans="2:13" ht="13.9" customHeight="1" x14ac:dyDescent="0.3">
      <c r="H32" s="163"/>
      <c r="J32" s="96">
        <f t="shared" ref="J32" si="19">J75</f>
        <v>0</v>
      </c>
      <c r="M32" s="49"/>
    </row>
    <row r="33" spans="1:26" x14ac:dyDescent="0.3">
      <c r="C33" s="60" t="str">
        <f t="shared" ref="C33:J33" si="20">C76</f>
        <v>Debt service - lease interest/interest expense</v>
      </c>
      <c r="D33" s="96">
        <f>T76</f>
        <v>61858</v>
      </c>
      <c r="H33" s="163"/>
      <c r="J33" s="96">
        <f t="shared" si="20"/>
        <v>0</v>
      </c>
      <c r="K33" s="96">
        <f>SUM(D33:I33)</f>
        <v>61858</v>
      </c>
      <c r="M33" s="49"/>
    </row>
    <row r="34" spans="1:26" x14ac:dyDescent="0.3">
      <c r="C34" s="60" t="str">
        <f t="shared" ref="C34:J34" si="21">C77</f>
        <v>Debt service - lease principle</v>
      </c>
      <c r="D34" s="96">
        <f>T77</f>
        <v>188142</v>
      </c>
      <c r="H34" s="163"/>
      <c r="I34" s="96">
        <f>V77</f>
        <v>-188142</v>
      </c>
      <c r="J34" s="96">
        <f t="shared" si="21"/>
        <v>0</v>
      </c>
      <c r="K34" s="96">
        <f>SUM(D34:I34)</f>
        <v>0</v>
      </c>
      <c r="M34" s="49"/>
    </row>
    <row r="35" spans="1:26" x14ac:dyDescent="0.3">
      <c r="C35" s="60" t="str">
        <f t="shared" ref="C35:J35" si="22">C78</f>
        <v>Rent expenditure/amortization expense</v>
      </c>
      <c r="F35" s="96">
        <f>I78</f>
        <v>60000</v>
      </c>
      <c r="H35" s="163"/>
      <c r="I35" s="96">
        <f>V78</f>
        <v>259921</v>
      </c>
      <c r="J35" s="96">
        <f t="shared" si="22"/>
        <v>0</v>
      </c>
      <c r="K35" s="96">
        <f>SUM(D35:I35)</f>
        <v>319921</v>
      </c>
      <c r="M35" s="49"/>
    </row>
    <row r="36" spans="1:26" x14ac:dyDescent="0.3">
      <c r="C36" s="60" t="str">
        <f t="shared" ref="C36:J36" si="23">C79</f>
        <v>Capital Outlay</v>
      </c>
      <c r="D36" s="96">
        <f>T79</f>
        <v>2599209</v>
      </c>
      <c r="H36" s="163"/>
      <c r="I36" s="96">
        <f>V79</f>
        <v>-2599209</v>
      </c>
      <c r="J36" s="96">
        <f t="shared" si="23"/>
        <v>0</v>
      </c>
      <c r="K36" s="96">
        <f>SUM(D36:I36)</f>
        <v>0</v>
      </c>
      <c r="M36" s="49"/>
    </row>
    <row r="37" spans="1:26" x14ac:dyDescent="0.3">
      <c r="C37" s="152" t="str">
        <f t="shared" ref="C37:J37" si="24">C80</f>
        <v>Total expenditures/expense</v>
      </c>
      <c r="D37" s="344">
        <f>SUM(D33:D36)</f>
        <v>2849209</v>
      </c>
      <c r="F37" s="344">
        <f>SUM(F33:F36)</f>
        <v>60000</v>
      </c>
      <c r="G37" s="49"/>
      <c r="H37" s="56"/>
      <c r="I37" s="344">
        <f>SUM(I33:I36)</f>
        <v>-2527430</v>
      </c>
      <c r="J37" s="96">
        <f t="shared" si="24"/>
        <v>0</v>
      </c>
      <c r="K37" s="344">
        <f>SUM(K33:K36)</f>
        <v>381779</v>
      </c>
      <c r="M37" s="49"/>
    </row>
    <row r="38" spans="1:26" ht="12.4" customHeight="1" x14ac:dyDescent="0.3">
      <c r="H38" s="163"/>
      <c r="J38" s="96">
        <f t="shared" ref="J38" si="25">J81</f>
        <v>0</v>
      </c>
      <c r="M38" s="49"/>
    </row>
    <row r="39" spans="1:26" x14ac:dyDescent="0.3">
      <c r="C39" s="60" t="str">
        <f>C82</f>
        <v>Other financing Source - lease payable</v>
      </c>
      <c r="D39" s="67">
        <f>T82</f>
        <v>-2549209</v>
      </c>
      <c r="F39" s="67">
        <f>I82</f>
        <v>0</v>
      </c>
      <c r="G39" s="49"/>
      <c r="H39" s="163"/>
      <c r="I39" s="67">
        <f>V82</f>
        <v>2549209</v>
      </c>
      <c r="J39" s="96">
        <f t="shared" ref="J39" si="26">J82</f>
        <v>0</v>
      </c>
      <c r="K39" s="67">
        <f>SUM(D39:I39)</f>
        <v>0</v>
      </c>
      <c r="M39" s="49"/>
    </row>
    <row r="40" spans="1:26" ht="11.65" customHeight="1" x14ac:dyDescent="0.3">
      <c r="H40" s="163"/>
      <c r="J40" s="96">
        <f t="shared" ref="J40" si="27">J83</f>
        <v>0</v>
      </c>
      <c r="M40" s="49"/>
    </row>
    <row r="41" spans="1:26" x14ac:dyDescent="0.3">
      <c r="C41" s="60" t="str">
        <f t="shared" ref="C41:J41" si="28">C84</f>
        <v>Change in fund balance/net position</v>
      </c>
      <c r="D41" s="96">
        <f>T84</f>
        <v>240000</v>
      </c>
      <c r="F41" s="96">
        <f>I84</f>
        <v>60000</v>
      </c>
      <c r="H41" s="163"/>
      <c r="I41" s="96">
        <f>V84</f>
        <v>21779</v>
      </c>
      <c r="J41" s="96">
        <f t="shared" si="28"/>
        <v>0</v>
      </c>
      <c r="K41" s="96">
        <f>SUM(D41:I41)</f>
        <v>321779</v>
      </c>
      <c r="M41" s="49"/>
    </row>
    <row r="42" spans="1:26" x14ac:dyDescent="0.3">
      <c r="C42" s="60" t="str">
        <f t="shared" ref="C42:J42" si="29">C85</f>
        <v>Beginning fund balance/net position</v>
      </c>
      <c r="D42" s="96">
        <f>T85</f>
        <v>-1000000</v>
      </c>
      <c r="F42" s="96">
        <f>I85</f>
        <v>-100000</v>
      </c>
      <c r="H42" s="163"/>
      <c r="I42" s="96">
        <f>V85</f>
        <v>0</v>
      </c>
      <c r="J42" s="96">
        <f t="shared" si="29"/>
        <v>0</v>
      </c>
      <c r="K42" s="96">
        <f>SUM(D42:I42)</f>
        <v>-1100000</v>
      </c>
      <c r="M42" s="49"/>
    </row>
    <row r="43" spans="1:26" ht="19.5" thickBot="1" x14ac:dyDescent="0.35">
      <c r="C43" s="60" t="str">
        <f t="shared" ref="C43:J43" si="30">C86</f>
        <v>Ending fund balance/net position</v>
      </c>
      <c r="D43" s="345">
        <f>SUM(D41:D42)</f>
        <v>-760000</v>
      </c>
      <c r="F43" s="345">
        <f>SUM(F41:F42)</f>
        <v>-40000</v>
      </c>
      <c r="G43" s="49"/>
      <c r="H43" s="56"/>
      <c r="I43" s="345">
        <f>SUM(I41:I42)</f>
        <v>21779</v>
      </c>
      <c r="J43" s="96">
        <f t="shared" si="30"/>
        <v>0</v>
      </c>
      <c r="K43" s="345">
        <f>SUM(K41:K42)</f>
        <v>-778221</v>
      </c>
      <c r="M43" s="49"/>
    </row>
    <row r="44" spans="1:26" ht="19.5" thickTop="1" x14ac:dyDescent="0.3">
      <c r="M44" s="49"/>
    </row>
    <row r="46" spans="1:26" x14ac:dyDescent="0.3">
      <c r="P46" s="67"/>
    </row>
    <row r="47" spans="1:26" x14ac:dyDescent="0.3">
      <c r="A47" s="355"/>
      <c r="B47" s="355"/>
      <c r="C47" s="355"/>
      <c r="D47" s="351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Q47" s="351"/>
      <c r="R47" s="351"/>
      <c r="S47" s="351"/>
      <c r="T47" s="351"/>
      <c r="U47" s="351"/>
      <c r="V47" s="351"/>
      <c r="W47" s="351"/>
      <c r="X47" s="351"/>
      <c r="Y47" s="351"/>
      <c r="Z47" s="351"/>
    </row>
    <row r="48" spans="1:26" x14ac:dyDescent="0.3">
      <c r="B48" s="356" t="s">
        <v>691</v>
      </c>
      <c r="C48" s="357"/>
    </row>
    <row r="50" spans="2:26" x14ac:dyDescent="0.3">
      <c r="B50" s="280" t="s">
        <v>611</v>
      </c>
      <c r="D50" s="706" t="s">
        <v>677</v>
      </c>
      <c r="E50" s="706"/>
      <c r="F50" s="706"/>
      <c r="G50" s="706"/>
      <c r="H50" s="706"/>
      <c r="I50" s="706"/>
      <c r="J50" s="706"/>
      <c r="K50" s="706"/>
      <c r="L50" s="706"/>
      <c r="M50" s="706"/>
      <c r="O50" s="706" t="s">
        <v>676</v>
      </c>
      <c r="P50" s="706"/>
      <c r="Q50" s="706"/>
      <c r="R50" s="706"/>
      <c r="S50" s="706"/>
      <c r="T50" s="706"/>
      <c r="U50" s="706"/>
      <c r="V50" s="706"/>
      <c r="W50" s="706"/>
      <c r="X50" s="706"/>
    </row>
    <row r="51" spans="2:26" ht="46.5" customHeight="1" x14ac:dyDescent="0.45">
      <c r="D51" s="354" t="s">
        <v>669</v>
      </c>
      <c r="E51" s="348"/>
      <c r="F51" s="354" t="s">
        <v>678</v>
      </c>
      <c r="G51" s="354"/>
      <c r="H51" s="354"/>
      <c r="I51" s="358" t="s">
        <v>670</v>
      </c>
      <c r="J51" s="347"/>
      <c r="K51" s="347" t="s">
        <v>559</v>
      </c>
      <c r="L51" s="347"/>
      <c r="M51" s="354" t="s">
        <v>671</v>
      </c>
      <c r="O51" s="354" t="s">
        <v>669</v>
      </c>
      <c r="P51" s="348"/>
      <c r="Q51" s="354" t="s">
        <v>678</v>
      </c>
      <c r="R51" s="354"/>
      <c r="S51" s="354"/>
      <c r="T51" s="358" t="s">
        <v>670</v>
      </c>
      <c r="U51" s="347"/>
      <c r="V51" s="347" t="s">
        <v>559</v>
      </c>
      <c r="W51" s="347"/>
      <c r="X51" s="354" t="s">
        <v>671</v>
      </c>
      <c r="Z51" s="354" t="s">
        <v>675</v>
      </c>
    </row>
    <row r="52" spans="2:26" x14ac:dyDescent="0.3">
      <c r="B52" s="343" t="s">
        <v>557</v>
      </c>
      <c r="G52" s="141"/>
      <c r="I52" s="349"/>
      <c r="T52" s="349"/>
    </row>
    <row r="53" spans="2:26" ht="15" customHeight="1" x14ac:dyDescent="0.3">
      <c r="G53" s="141"/>
      <c r="I53" s="349"/>
      <c r="R53" s="141"/>
      <c r="T53" s="349"/>
    </row>
    <row r="54" spans="2:26" x14ac:dyDescent="0.3">
      <c r="C54" s="60" t="s">
        <v>2</v>
      </c>
      <c r="D54" s="96">
        <f>+'Example 6 Scenario A '!D10</f>
        <v>40000</v>
      </c>
      <c r="G54" s="141"/>
      <c r="I54" s="349">
        <f>D54+F54</f>
        <v>40000</v>
      </c>
      <c r="M54" s="96">
        <f>SUM(I54:K54)</f>
        <v>40000</v>
      </c>
      <c r="O54" s="96">
        <f>+'Example 6 Scenario A '!J10</f>
        <v>735000</v>
      </c>
      <c r="R54" s="141"/>
      <c r="T54" s="349">
        <f>O54+Q54</f>
        <v>735000</v>
      </c>
      <c r="X54" s="96">
        <f>SUM(T54:V54)</f>
        <v>735000</v>
      </c>
      <c r="Z54" s="96">
        <f>+M54+X54</f>
        <v>775000</v>
      </c>
    </row>
    <row r="55" spans="2:26" x14ac:dyDescent="0.3">
      <c r="C55" s="60" t="s">
        <v>48</v>
      </c>
      <c r="G55" s="141"/>
      <c r="I55" s="349"/>
      <c r="M55" s="96">
        <f>SUM(I55:K55)</f>
        <v>0</v>
      </c>
      <c r="O55" s="96">
        <f>+'Example 6 Scenario A '!J11</f>
        <v>472214</v>
      </c>
      <c r="Q55" s="96">
        <f>-O55</f>
        <v>-472214</v>
      </c>
      <c r="R55" s="141" t="s">
        <v>644</v>
      </c>
      <c r="T55" s="349">
        <f>O55+Q55</f>
        <v>0</v>
      </c>
      <c r="X55" s="96">
        <f t="shared" ref="X55:X57" si="31">SUM(T55:V55)</f>
        <v>0</v>
      </c>
      <c r="Z55" s="96">
        <f>+M55+X55</f>
        <v>0</v>
      </c>
    </row>
    <row r="56" spans="2:26" x14ac:dyDescent="0.3">
      <c r="C56" s="60" t="s">
        <v>571</v>
      </c>
      <c r="G56" s="141"/>
      <c r="I56" s="349"/>
      <c r="O56" s="96">
        <f>+'Example 6 Scenario A '!J12</f>
        <v>25000</v>
      </c>
      <c r="R56" s="141"/>
      <c r="T56" s="349">
        <f>O56+Q56</f>
        <v>25000</v>
      </c>
      <c r="X56" s="96">
        <f t="shared" si="31"/>
        <v>25000</v>
      </c>
      <c r="Z56" s="96">
        <f>+M56+X56</f>
        <v>25000</v>
      </c>
    </row>
    <row r="57" spans="2:26" x14ac:dyDescent="0.3">
      <c r="C57" s="60" t="s">
        <v>55</v>
      </c>
      <c r="G57" s="141"/>
      <c r="I57" s="349"/>
      <c r="M57" s="96">
        <f>SUM(I57:K57)</f>
        <v>0</v>
      </c>
      <c r="R57" s="141"/>
      <c r="T57" s="349">
        <f>O57+Q57</f>
        <v>0</v>
      </c>
      <c r="V57" s="96">
        <f>+'Example 6 Scenario A '!L13</f>
        <v>2339288</v>
      </c>
      <c r="X57" s="96">
        <f t="shared" si="31"/>
        <v>2339288</v>
      </c>
      <c r="Z57" s="96">
        <f>+M57+X57</f>
        <v>2339288</v>
      </c>
    </row>
    <row r="58" spans="2:26" x14ac:dyDescent="0.3">
      <c r="C58" s="152" t="s">
        <v>604</v>
      </c>
      <c r="D58" s="344">
        <f>SUM(D54:D57)</f>
        <v>40000</v>
      </c>
      <c r="F58" s="344">
        <f>SUM(F54:F57)</f>
        <v>0</v>
      </c>
      <c r="G58" s="212"/>
      <c r="H58" s="49"/>
      <c r="I58" s="350">
        <f>SUM(I54:I57)</f>
        <v>40000</v>
      </c>
      <c r="M58" s="344">
        <f>SUM(M54:M57)</f>
        <v>40000</v>
      </c>
      <c r="O58" s="344">
        <f>SUM(O54:O57)</f>
        <v>1232214</v>
      </c>
      <c r="Q58" s="344">
        <f>SUM(Q54:Q57)</f>
        <v>-472214</v>
      </c>
      <c r="R58" s="212"/>
      <c r="S58" s="49"/>
      <c r="T58" s="350">
        <f>SUM(T54:T57)</f>
        <v>760000</v>
      </c>
      <c r="V58" s="344">
        <f>SUM(V54:V57)</f>
        <v>2339288</v>
      </c>
      <c r="X58" s="344">
        <f>SUM(X54:X57)</f>
        <v>3099288</v>
      </c>
      <c r="Z58" s="96">
        <f>+M58+X58</f>
        <v>3139288</v>
      </c>
    </row>
    <row r="59" spans="2:26" x14ac:dyDescent="0.3">
      <c r="C59" s="152"/>
      <c r="D59" s="49"/>
      <c r="F59" s="49"/>
      <c r="G59" s="212"/>
      <c r="H59" s="49"/>
      <c r="I59" s="359"/>
      <c r="M59" s="49"/>
      <c r="O59" s="49"/>
      <c r="Q59" s="49"/>
      <c r="R59" s="212"/>
      <c r="S59" s="49"/>
      <c r="T59" s="359"/>
      <c r="V59" s="49"/>
      <c r="X59" s="49"/>
    </row>
    <row r="60" spans="2:26" x14ac:dyDescent="0.3">
      <c r="C60" s="60" t="s">
        <v>71</v>
      </c>
      <c r="G60" s="141"/>
      <c r="I60" s="349"/>
      <c r="M60" s="96">
        <f>SUM(I60:K60)</f>
        <v>0</v>
      </c>
      <c r="R60" s="141"/>
      <c r="T60" s="349"/>
      <c r="V60" s="96">
        <f>+'Example 6 Scenario A '!L16</f>
        <v>-2361067</v>
      </c>
      <c r="X60" s="96">
        <f>SUM(T60:V60)</f>
        <v>-2361067</v>
      </c>
      <c r="Z60" s="96">
        <f>+M60+X60</f>
        <v>-2361067</v>
      </c>
    </row>
    <row r="61" spans="2:26" x14ac:dyDescent="0.3">
      <c r="C61" s="152" t="s">
        <v>603</v>
      </c>
      <c r="D61" s="344">
        <f>SUM(D60)</f>
        <v>0</v>
      </c>
      <c r="F61" s="344">
        <f>SUM(F60)</f>
        <v>0</v>
      </c>
      <c r="G61" s="212"/>
      <c r="H61" s="49"/>
      <c r="I61" s="350">
        <f>SUM(I60)</f>
        <v>0</v>
      </c>
      <c r="K61" s="344">
        <f>SUM(K60)</f>
        <v>0</v>
      </c>
      <c r="M61" s="344">
        <f>SUM(M60)</f>
        <v>0</v>
      </c>
      <c r="O61" s="344">
        <f>SUM(O60)</f>
        <v>0</v>
      </c>
      <c r="Q61" s="344">
        <f>SUM(Q60)</f>
        <v>0</v>
      </c>
      <c r="R61" s="212"/>
      <c r="S61" s="49"/>
      <c r="T61" s="350">
        <f>SUM(T60)</f>
        <v>0</v>
      </c>
      <c r="V61" s="344">
        <f>SUM(V60)</f>
        <v>-2361067</v>
      </c>
      <c r="X61" s="344">
        <f>SUM(X60)</f>
        <v>-2361067</v>
      </c>
      <c r="Z61" s="96">
        <f>+M61+X61</f>
        <v>-2361067</v>
      </c>
    </row>
    <row r="62" spans="2:26" x14ac:dyDescent="0.3">
      <c r="C62" s="152"/>
      <c r="G62" s="141"/>
      <c r="I62" s="349"/>
      <c r="R62" s="141"/>
      <c r="T62" s="349"/>
    </row>
    <row r="63" spans="2:26" x14ac:dyDescent="0.3">
      <c r="C63" s="60" t="s">
        <v>556</v>
      </c>
      <c r="G63" s="141"/>
      <c r="I63" s="349"/>
      <c r="O63" s="96">
        <f>+'Example 6 Scenario A '!J19</f>
        <v>-467857</v>
      </c>
      <c r="Q63" s="96">
        <f>-O63</f>
        <v>467857</v>
      </c>
      <c r="R63" s="141" t="s">
        <v>644</v>
      </c>
      <c r="T63" s="349">
        <f>O63+Q63</f>
        <v>0</v>
      </c>
      <c r="X63" s="96">
        <f>SUM(T63:V63)</f>
        <v>0</v>
      </c>
      <c r="Z63" s="96">
        <f>+M63+X63</f>
        <v>0</v>
      </c>
    </row>
    <row r="64" spans="2:26" x14ac:dyDescent="0.3">
      <c r="C64" s="152" t="s">
        <v>605</v>
      </c>
      <c r="D64" s="344">
        <f>SUM(D63)</f>
        <v>0</v>
      </c>
      <c r="F64" s="344">
        <f>SUM(F63)</f>
        <v>0</v>
      </c>
      <c r="G64" s="212"/>
      <c r="H64" s="49"/>
      <c r="I64" s="350">
        <f>SUM(I63)</f>
        <v>0</v>
      </c>
      <c r="K64" s="344">
        <f>SUM(K63)</f>
        <v>0</v>
      </c>
      <c r="M64" s="344">
        <f>SUM(M63)</f>
        <v>0</v>
      </c>
      <c r="O64" s="344">
        <f>SUM(O63)</f>
        <v>-467857</v>
      </c>
      <c r="Q64" s="344">
        <f>SUM(Q63)</f>
        <v>467857</v>
      </c>
      <c r="R64" s="212"/>
      <c r="S64" s="49"/>
      <c r="T64" s="350">
        <f>SUM(T63)</f>
        <v>0</v>
      </c>
      <c r="V64" s="344">
        <f>SUM(V63)</f>
        <v>0</v>
      </c>
      <c r="X64" s="344">
        <f>SUM(X63)</f>
        <v>0</v>
      </c>
      <c r="Z64" s="96">
        <f>+M64+X64</f>
        <v>0</v>
      </c>
    </row>
    <row r="65" spans="2:26" ht="19.5" thickBot="1" x14ac:dyDescent="0.35">
      <c r="C65" s="60" t="s">
        <v>606</v>
      </c>
      <c r="D65" s="345">
        <f>-(+D58+D61+D64)</f>
        <v>-40000</v>
      </c>
      <c r="F65" s="345">
        <f>+F58+F61+F64</f>
        <v>0</v>
      </c>
      <c r="G65" s="212"/>
      <c r="H65" s="49"/>
      <c r="I65" s="360">
        <f>-(+I58+I61+I64)</f>
        <v>-40000</v>
      </c>
      <c r="K65" s="345">
        <f>SUM(K57:K64)</f>
        <v>0</v>
      </c>
      <c r="M65" s="345">
        <f>-(+M58+M61+M64)</f>
        <v>-40000</v>
      </c>
      <c r="O65" s="345">
        <f>-(+O58+O61+O64)</f>
        <v>-764357</v>
      </c>
      <c r="Q65" s="345">
        <f>-(+Q58+Q61+Q64)</f>
        <v>4357</v>
      </c>
      <c r="R65" s="212" t="s">
        <v>646</v>
      </c>
      <c r="S65" s="49"/>
      <c r="T65" s="360">
        <f>-(+T58+T61+T64)</f>
        <v>-760000</v>
      </c>
      <c r="V65" s="345">
        <f>-(+V58+V61+V64)</f>
        <v>21779</v>
      </c>
      <c r="X65" s="345">
        <f>-(+X58+X61+X64)</f>
        <v>-738221</v>
      </c>
      <c r="Z65" s="96">
        <f>+M65+X65</f>
        <v>-778221</v>
      </c>
    </row>
    <row r="66" spans="2:26" ht="19.5" thickTop="1" x14ac:dyDescent="0.3">
      <c r="G66" s="141"/>
      <c r="I66" s="349"/>
      <c r="R66" s="141"/>
      <c r="T66" s="349"/>
    </row>
    <row r="67" spans="2:26" x14ac:dyDescent="0.3">
      <c r="G67" s="141"/>
      <c r="I67" s="349"/>
      <c r="R67" s="141"/>
      <c r="T67" s="349"/>
    </row>
    <row r="68" spans="2:26" x14ac:dyDescent="0.3">
      <c r="D68" s="706" t="s">
        <v>677</v>
      </c>
      <c r="E68" s="706"/>
      <c r="F68" s="706"/>
      <c r="G68" s="706"/>
      <c r="H68" s="706"/>
      <c r="I68" s="706"/>
      <c r="J68" s="706"/>
      <c r="K68" s="706"/>
      <c r="L68" s="706"/>
      <c r="M68" s="706"/>
      <c r="O68" s="706" t="s">
        <v>676</v>
      </c>
      <c r="P68" s="706"/>
      <c r="Q68" s="706"/>
      <c r="R68" s="706"/>
      <c r="S68" s="706"/>
      <c r="T68" s="706"/>
      <c r="U68" s="706"/>
      <c r="V68" s="706"/>
      <c r="W68" s="706"/>
      <c r="X68" s="706"/>
    </row>
    <row r="69" spans="2:26" ht="38.65" customHeight="1" x14ac:dyDescent="0.45">
      <c r="D69" s="354" t="s">
        <v>669</v>
      </c>
      <c r="E69" s="348"/>
      <c r="F69" s="354" t="s">
        <v>678</v>
      </c>
      <c r="G69" s="354"/>
      <c r="H69" s="354"/>
      <c r="I69" s="358" t="s">
        <v>670</v>
      </c>
      <c r="J69" s="347"/>
      <c r="K69" s="347" t="s">
        <v>559</v>
      </c>
      <c r="L69" s="347"/>
      <c r="M69" s="354" t="s">
        <v>671</v>
      </c>
      <c r="O69" s="354" t="s">
        <v>669</v>
      </c>
      <c r="P69" s="348"/>
      <c r="Q69" s="354" t="s">
        <v>678</v>
      </c>
      <c r="R69" s="354"/>
      <c r="S69" s="354"/>
      <c r="T69" s="358" t="s">
        <v>670</v>
      </c>
      <c r="U69" s="347"/>
      <c r="V69" s="347" t="s">
        <v>559</v>
      </c>
      <c r="W69" s="347"/>
      <c r="X69" s="354" t="s">
        <v>671</v>
      </c>
    </row>
    <row r="70" spans="2:26" x14ac:dyDescent="0.3">
      <c r="B70" s="343" t="s">
        <v>558</v>
      </c>
      <c r="G70" s="141"/>
      <c r="I70" s="349"/>
      <c r="R70" s="141"/>
      <c r="T70" s="349"/>
    </row>
    <row r="71" spans="2:26" ht="8.65" customHeight="1" x14ac:dyDescent="0.3">
      <c r="G71" s="141"/>
      <c r="I71" s="349"/>
      <c r="R71" s="141"/>
      <c r="T71" s="349"/>
    </row>
    <row r="72" spans="2:26" x14ac:dyDescent="0.3">
      <c r="C72" s="60" t="s">
        <v>50</v>
      </c>
      <c r="G72" s="141"/>
      <c r="I72" s="349"/>
      <c r="M72" s="96">
        <f t="shared" ref="M72:M73" si="32">SUM(I72:K72)</f>
        <v>0</v>
      </c>
      <c r="O72" s="96">
        <f>+'Example 6 Scenario A '!J28</f>
        <v>-51985</v>
      </c>
      <c r="Q72" s="96">
        <f>(-'Ex. 6 Calcs-City'!I13-O72)</f>
        <v>-8015</v>
      </c>
      <c r="R72" s="141" t="s">
        <v>610</v>
      </c>
      <c r="T72" s="349">
        <f>O72+Q72</f>
        <v>-60000</v>
      </c>
      <c r="X72" s="96">
        <f>SUM(T72:V72)</f>
        <v>-60000</v>
      </c>
      <c r="Z72" s="96">
        <f t="shared" ref="Z72:Z74" si="33">+M72+X72</f>
        <v>-60000</v>
      </c>
    </row>
    <row r="73" spans="2:26" x14ac:dyDescent="0.3">
      <c r="C73" s="60" t="s">
        <v>22</v>
      </c>
      <c r="G73" s="141"/>
      <c r="I73" s="349"/>
      <c r="M73" s="96">
        <f t="shared" si="32"/>
        <v>0</v>
      </c>
      <c r="O73" s="96">
        <f>+'Example 6 Scenario A '!J29</f>
        <v>-12372</v>
      </c>
      <c r="Q73" s="96">
        <f>-O73</f>
        <v>12372</v>
      </c>
      <c r="R73" s="141" t="s">
        <v>644</v>
      </c>
      <c r="T73" s="349">
        <f t="shared" ref="T73" si="34">O73+Q73</f>
        <v>0</v>
      </c>
      <c r="X73" s="96">
        <f>SUM(T73:V73)</f>
        <v>0</v>
      </c>
      <c r="Z73" s="96">
        <f t="shared" si="33"/>
        <v>0</v>
      </c>
    </row>
    <row r="74" spans="2:26" x14ac:dyDescent="0.3">
      <c r="C74" s="152" t="s">
        <v>613</v>
      </c>
      <c r="D74" s="344">
        <f>SUM(D72:D73)</f>
        <v>0</v>
      </c>
      <c r="F74" s="344">
        <f>SUM(F72:F73)</f>
        <v>0</v>
      </c>
      <c r="G74" s="212"/>
      <c r="H74" s="49"/>
      <c r="I74" s="350">
        <f>SUM(I72:I73)</f>
        <v>0</v>
      </c>
      <c r="K74" s="344">
        <f>SUM(K72:K73)</f>
        <v>0</v>
      </c>
      <c r="M74" s="344">
        <f>SUM(M72:M73)</f>
        <v>0</v>
      </c>
      <c r="O74" s="344">
        <f>SUM(O72:O73)</f>
        <v>-64357</v>
      </c>
      <c r="Q74" s="344">
        <f>SUM(Q72:Q73)</f>
        <v>4357</v>
      </c>
      <c r="R74" s="212" t="s">
        <v>646</v>
      </c>
      <c r="S74" s="49"/>
      <c r="T74" s="350">
        <f>SUM(T72:T73)</f>
        <v>-60000</v>
      </c>
      <c r="V74" s="344">
        <f>SUM(V72:V73)</f>
        <v>0</v>
      </c>
      <c r="X74" s="344">
        <f>SUM(X72:X73)</f>
        <v>-60000</v>
      </c>
      <c r="Z74" s="96">
        <f t="shared" si="33"/>
        <v>-60000</v>
      </c>
    </row>
    <row r="75" spans="2:26" ht="13.9" customHeight="1" x14ac:dyDescent="0.3">
      <c r="G75" s="141"/>
      <c r="I75" s="349"/>
      <c r="R75" s="141"/>
      <c r="T75" s="349"/>
    </row>
    <row r="76" spans="2:26" x14ac:dyDescent="0.3">
      <c r="C76" s="60" t="s">
        <v>609</v>
      </c>
      <c r="D76" s="96">
        <f>+'Example 6 Scenario A '!D32</f>
        <v>12372</v>
      </c>
      <c r="F76" s="96">
        <f>-D76</f>
        <v>-12372</v>
      </c>
      <c r="G76" s="141" t="s">
        <v>644</v>
      </c>
      <c r="I76" s="349">
        <f>D76+F76</f>
        <v>0</v>
      </c>
      <c r="M76" s="96">
        <f t="shared" ref="M76:M79" si="35">SUM(I76:K76)</f>
        <v>0</v>
      </c>
      <c r="O76" s="96">
        <f>+'Example 6 Scenario A '!J32</f>
        <v>61858</v>
      </c>
      <c r="R76" s="141"/>
      <c r="T76" s="349">
        <f t="shared" ref="T76:T79" si="36">O76+Q76</f>
        <v>61858</v>
      </c>
      <c r="V76" s="96">
        <v>0</v>
      </c>
      <c r="X76" s="96">
        <f t="shared" ref="X76:X79" si="37">SUM(T76:V76)</f>
        <v>61858</v>
      </c>
      <c r="Z76" s="96">
        <f t="shared" ref="Z76" si="38">+M76+X76</f>
        <v>61858</v>
      </c>
    </row>
    <row r="77" spans="2:26" x14ac:dyDescent="0.3">
      <c r="C77" s="60" t="s">
        <v>608</v>
      </c>
      <c r="D77" s="96">
        <f>+'Example 6 Scenario A '!D33</f>
        <v>37628</v>
      </c>
      <c r="F77" s="96">
        <f>-D77</f>
        <v>-37628</v>
      </c>
      <c r="G77" s="141" t="s">
        <v>644</v>
      </c>
      <c r="I77" s="349">
        <f>D77+F77</f>
        <v>0</v>
      </c>
      <c r="M77" s="96">
        <f t="shared" si="35"/>
        <v>0</v>
      </c>
      <c r="O77" s="96">
        <f>+'Example 6 Scenario A '!J33</f>
        <v>188142</v>
      </c>
      <c r="R77" s="141"/>
      <c r="T77" s="349">
        <f t="shared" si="36"/>
        <v>188142</v>
      </c>
      <c r="V77" s="96">
        <f>+'Example 6 Scenario A '!L33</f>
        <v>-188142</v>
      </c>
      <c r="X77" s="96">
        <f t="shared" si="37"/>
        <v>0</v>
      </c>
    </row>
    <row r="78" spans="2:26" x14ac:dyDescent="0.3">
      <c r="C78" s="60" t="s">
        <v>645</v>
      </c>
      <c r="F78" s="361">
        <f>+'Ex. 6 Calcs-Corp'!I10</f>
        <v>60000</v>
      </c>
      <c r="G78" s="141" t="s">
        <v>610</v>
      </c>
      <c r="I78" s="349">
        <f>D78+F78</f>
        <v>60000</v>
      </c>
      <c r="M78" s="96">
        <f t="shared" si="35"/>
        <v>60000</v>
      </c>
      <c r="R78" s="141"/>
      <c r="T78" s="349">
        <f t="shared" si="36"/>
        <v>0</v>
      </c>
      <c r="V78" s="96">
        <f>+'Example 6 Scenario A '!L34</f>
        <v>259921</v>
      </c>
      <c r="X78" s="96">
        <f t="shared" si="37"/>
        <v>259921</v>
      </c>
      <c r="Z78" s="96">
        <f t="shared" ref="Z78" si="39">+M78+X78</f>
        <v>319921</v>
      </c>
    </row>
    <row r="79" spans="2:26" x14ac:dyDescent="0.3">
      <c r="C79" s="60" t="s">
        <v>560</v>
      </c>
      <c r="D79" s="96">
        <f>+'Example 6 Scenario A '!D35</f>
        <v>519842</v>
      </c>
      <c r="F79" s="96">
        <f>-D79</f>
        <v>-519842</v>
      </c>
      <c r="G79" s="141" t="s">
        <v>644</v>
      </c>
      <c r="I79" s="362">
        <f>D79+F79</f>
        <v>0</v>
      </c>
      <c r="K79" s="67"/>
      <c r="M79" s="96">
        <f t="shared" si="35"/>
        <v>0</v>
      </c>
      <c r="O79" s="96">
        <f>+'Example 6 Scenario A '!J35</f>
        <v>2599209</v>
      </c>
      <c r="R79" s="141"/>
      <c r="T79" s="349">
        <f t="shared" si="36"/>
        <v>2599209</v>
      </c>
      <c r="V79" s="96">
        <f>+'Example 6 Scenario A '!L35</f>
        <v>-2599209</v>
      </c>
      <c r="X79" s="96">
        <f t="shared" si="37"/>
        <v>0</v>
      </c>
    </row>
    <row r="80" spans="2:26" x14ac:dyDescent="0.3">
      <c r="C80" s="152" t="s">
        <v>612</v>
      </c>
      <c r="D80" s="344">
        <f>SUM(D76:D79)</f>
        <v>569842</v>
      </c>
      <c r="F80" s="344">
        <f>SUM(F76:F79)</f>
        <v>-509842</v>
      </c>
      <c r="G80" s="212"/>
      <c r="H80" s="49"/>
      <c r="I80" s="350"/>
      <c r="K80" s="344"/>
      <c r="M80" s="344">
        <f>SUM(M76:M79)</f>
        <v>60000</v>
      </c>
      <c r="O80" s="344">
        <f>SUM(O76:O79)</f>
        <v>2849209</v>
      </c>
      <c r="Q80" s="344">
        <f>SUM(Q76:Q79)</f>
        <v>0</v>
      </c>
      <c r="R80" s="212"/>
      <c r="S80" s="49"/>
      <c r="T80" s="350">
        <f>SUM(T76:T79)</f>
        <v>2849209</v>
      </c>
      <c r="V80" s="344">
        <f>SUM(V76:V79)</f>
        <v>-2527430</v>
      </c>
      <c r="X80" s="344">
        <f>SUM(X76:X79)</f>
        <v>321779</v>
      </c>
      <c r="Z80" s="96">
        <f t="shared" ref="Z80" si="40">+M80+X80</f>
        <v>381779</v>
      </c>
    </row>
    <row r="81" spans="3:26" ht="14.25" customHeight="1" x14ac:dyDescent="0.3">
      <c r="G81" s="141"/>
      <c r="I81" s="349"/>
      <c r="R81" s="141"/>
      <c r="T81" s="349"/>
    </row>
    <row r="82" spans="3:26" x14ac:dyDescent="0.3">
      <c r="C82" s="60" t="s">
        <v>561</v>
      </c>
      <c r="D82" s="67">
        <f>+'Example 6 Scenario A '!D38</f>
        <v>-509842</v>
      </c>
      <c r="F82" s="67">
        <f>-D82</f>
        <v>509842</v>
      </c>
      <c r="G82" s="212" t="s">
        <v>644</v>
      </c>
      <c r="H82" s="49"/>
      <c r="I82" s="362">
        <f>D82+F82</f>
        <v>0</v>
      </c>
      <c r="K82" s="67"/>
      <c r="M82" s="67">
        <f>SUM(D82:K82)</f>
        <v>0</v>
      </c>
      <c r="O82" s="67">
        <f>+'Example 6 Scenario A '!J38</f>
        <v>-2549209</v>
      </c>
      <c r="Q82" s="67"/>
      <c r="R82" s="212"/>
      <c r="S82" s="49"/>
      <c r="T82" s="362">
        <f t="shared" ref="T82" si="41">O82+Q82</f>
        <v>-2549209</v>
      </c>
      <c r="V82" s="67">
        <f>+'Example 6 Scenario A '!L38</f>
        <v>2549209</v>
      </c>
      <c r="X82" s="67">
        <f>SUM(T82:V82)</f>
        <v>0</v>
      </c>
      <c r="Z82" s="67"/>
    </row>
    <row r="83" spans="3:26" ht="10.5" customHeight="1" x14ac:dyDescent="0.3">
      <c r="G83" s="141"/>
      <c r="I83" s="349"/>
      <c r="R83" s="141"/>
      <c r="T83" s="349"/>
    </row>
    <row r="84" spans="3:26" x14ac:dyDescent="0.3">
      <c r="C84" s="60" t="s">
        <v>600</v>
      </c>
      <c r="D84" s="96">
        <f>+'Example 6 Scenario A '!D40</f>
        <v>60000</v>
      </c>
      <c r="G84" s="141"/>
      <c r="I84" s="349">
        <f t="shared" ref="I84:I85" si="42">D84+F84</f>
        <v>60000</v>
      </c>
      <c r="K84" s="96">
        <f>SUM(K77:K83)</f>
        <v>0</v>
      </c>
      <c r="M84" s="96">
        <f>+M74+M80+M82</f>
        <v>60000</v>
      </c>
      <c r="O84" s="96">
        <f>+O74+O80+O82</f>
        <v>235643</v>
      </c>
      <c r="R84" s="141"/>
      <c r="T84" s="349">
        <f>+T74+T80+T82</f>
        <v>240000</v>
      </c>
      <c r="V84" s="96">
        <f>+V74+V80+V82</f>
        <v>21779</v>
      </c>
      <c r="X84" s="96">
        <f>+X74+X80+X82</f>
        <v>261779</v>
      </c>
      <c r="Z84" s="96">
        <f t="shared" ref="Z84:Z86" si="43">+M84+X84</f>
        <v>321779</v>
      </c>
    </row>
    <row r="85" spans="3:26" x14ac:dyDescent="0.3">
      <c r="C85" s="60" t="s">
        <v>601</v>
      </c>
      <c r="D85" s="96">
        <f>+'Example 6 Scenario A '!D41</f>
        <v>-100000</v>
      </c>
      <c r="G85" s="141"/>
      <c r="I85" s="349">
        <f t="shared" si="42"/>
        <v>-100000</v>
      </c>
      <c r="M85" s="96">
        <f>SUM(I85:K85)</f>
        <v>-100000</v>
      </c>
      <c r="O85" s="96">
        <f>+'Example 6 Scenario A '!J41</f>
        <v>-1000000</v>
      </c>
      <c r="R85" s="141"/>
      <c r="T85" s="349">
        <f>O85+Q85</f>
        <v>-1000000</v>
      </c>
      <c r="X85" s="96">
        <f>SUM(T85:V85)</f>
        <v>-1000000</v>
      </c>
      <c r="Z85" s="96">
        <f t="shared" si="43"/>
        <v>-1100000</v>
      </c>
    </row>
    <row r="86" spans="3:26" ht="19.5" thickBot="1" x14ac:dyDescent="0.35">
      <c r="C86" s="60" t="s">
        <v>602</v>
      </c>
      <c r="D86" s="345">
        <f>+D84+D85</f>
        <v>-40000</v>
      </c>
      <c r="F86" s="345">
        <f>+F84+F85</f>
        <v>0</v>
      </c>
      <c r="G86" s="212"/>
      <c r="H86" s="49"/>
      <c r="I86" s="360">
        <f>+I84+I85</f>
        <v>-40000</v>
      </c>
      <c r="K86" s="345">
        <f>+K84+K85</f>
        <v>0</v>
      </c>
      <c r="M86" s="345">
        <f>+M84+M85</f>
        <v>-40000</v>
      </c>
      <c r="O86" s="345">
        <f>+O84+O85</f>
        <v>-764357</v>
      </c>
      <c r="Q86" s="345">
        <f>Q74</f>
        <v>4357</v>
      </c>
      <c r="R86" s="363" t="s">
        <v>646</v>
      </c>
      <c r="S86" s="345"/>
      <c r="T86" s="360">
        <f>+T84+T85</f>
        <v>-760000</v>
      </c>
      <c r="V86" s="345">
        <f>+V84+V85</f>
        <v>21779</v>
      </c>
      <c r="X86" s="345">
        <f>+X84+X85</f>
        <v>-738221</v>
      </c>
      <c r="Z86" s="96">
        <f t="shared" si="43"/>
        <v>-778221</v>
      </c>
    </row>
    <row r="87" spans="3:26" ht="19.5" thickTop="1" x14ac:dyDescent="0.3">
      <c r="D87" s="49"/>
      <c r="F87" s="49"/>
      <c r="G87" s="212"/>
      <c r="H87" s="49"/>
      <c r="I87" s="359"/>
      <c r="K87" s="49"/>
      <c r="M87" s="49"/>
      <c r="O87" s="49"/>
      <c r="Q87" s="49"/>
      <c r="R87" s="212"/>
      <c r="S87" s="49"/>
      <c r="T87" s="359"/>
      <c r="V87" s="49"/>
      <c r="X87" s="49"/>
    </row>
    <row r="89" spans="3:26" x14ac:dyDescent="0.3">
      <c r="C89" s="886" t="s">
        <v>689</v>
      </c>
      <c r="D89" s="886"/>
      <c r="E89" s="886"/>
      <c r="F89" s="886"/>
    </row>
    <row r="90" spans="3:26" x14ac:dyDescent="0.3">
      <c r="C90" s="83" t="s">
        <v>679</v>
      </c>
      <c r="D90" s="96" t="s">
        <v>815</v>
      </c>
    </row>
    <row r="91" spans="3:26" x14ac:dyDescent="0.3">
      <c r="D91" s="60"/>
    </row>
    <row r="92" spans="3:26" x14ac:dyDescent="0.3">
      <c r="C92" s="83" t="s">
        <v>681</v>
      </c>
      <c r="D92" s="96" t="s">
        <v>686</v>
      </c>
    </row>
    <row r="93" spans="3:26" x14ac:dyDescent="0.3">
      <c r="D93" s="96" t="s">
        <v>687</v>
      </c>
    </row>
    <row r="95" spans="3:26" x14ac:dyDescent="0.3">
      <c r="C95" s="83" t="s">
        <v>688</v>
      </c>
      <c r="D95" s="96" t="s">
        <v>692</v>
      </c>
    </row>
    <row r="96" spans="3:26" x14ac:dyDescent="0.3">
      <c r="D96" s="96" t="s">
        <v>761</v>
      </c>
    </row>
    <row r="97" spans="4:4" x14ac:dyDescent="0.3">
      <c r="D97" s="96" t="s">
        <v>693</v>
      </c>
    </row>
  </sheetData>
  <mergeCells count="9">
    <mergeCell ref="D5:K5"/>
    <mergeCell ref="D6:F6"/>
    <mergeCell ref="C89:F89"/>
    <mergeCell ref="K6:K7"/>
    <mergeCell ref="D24:K24"/>
    <mergeCell ref="D25:F25"/>
    <mergeCell ref="K25:K26"/>
    <mergeCell ref="I6:I7"/>
    <mergeCell ref="I25:I26"/>
  </mergeCells>
  <pageMargins left="0.7" right="0.7" top="0.75" bottom="0.75" header="0.3" footer="0.3"/>
  <pageSetup paperSize="5" orientation="landscape" horizontalDpi="4294967295" verticalDpi="4294967295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/>
  </sheetViews>
  <sheetFormatPr defaultColWidth="9" defaultRowHeight="18.75" x14ac:dyDescent="0.3"/>
  <cols>
    <col min="1" max="1" width="9" style="60"/>
    <col min="2" max="2" width="6.5703125" style="60" customWidth="1"/>
    <col min="3" max="3" width="39.28515625" style="60" customWidth="1"/>
    <col min="4" max="4" width="14.28515625" style="60" customWidth="1"/>
    <col min="5" max="5" width="2" style="60" customWidth="1"/>
    <col min="6" max="6" width="13.42578125" style="96" customWidth="1"/>
    <col min="7" max="7" width="3.7109375" style="49" customWidth="1"/>
    <col min="8" max="8" width="1.5703125" style="49" customWidth="1"/>
    <col min="9" max="9" width="13.28515625" style="96" customWidth="1"/>
    <col min="10" max="10" width="10.5703125" style="96" hidden="1" customWidth="1"/>
    <col min="11" max="11" width="3.85546875" style="49" customWidth="1"/>
    <col min="12" max="12" width="13.28515625" style="96" customWidth="1"/>
    <col min="13" max="13" width="4.140625" style="96" customWidth="1"/>
    <col min="14" max="14" width="11.5703125" style="60" customWidth="1"/>
    <col min="15" max="16384" width="9" style="60"/>
  </cols>
  <sheetData>
    <row r="1" spans="1:14" x14ac:dyDescent="0.3">
      <c r="A1" s="380" t="s">
        <v>722</v>
      </c>
    </row>
    <row r="3" spans="1:14" x14ac:dyDescent="0.3">
      <c r="B3" s="892" t="s">
        <v>694</v>
      </c>
      <c r="C3" s="893"/>
      <c r="D3" s="893"/>
      <c r="E3" s="893"/>
      <c r="F3" s="893"/>
      <c r="G3" s="893"/>
      <c r="H3" s="893"/>
      <c r="I3" s="893"/>
      <c r="J3" s="893"/>
      <c r="K3" s="893"/>
      <c r="L3" s="893"/>
      <c r="M3" s="894"/>
    </row>
    <row r="4" spans="1:14" s="683" customFormat="1" ht="37.5" customHeight="1" x14ac:dyDescent="0.3">
      <c r="B4" s="688"/>
      <c r="C4" s="57"/>
      <c r="D4" s="692" t="s">
        <v>695</v>
      </c>
      <c r="E4" s="57"/>
      <c r="F4" s="344" t="s">
        <v>697</v>
      </c>
      <c r="G4" s="49"/>
      <c r="H4" s="49"/>
      <c r="I4" s="344" t="s">
        <v>698</v>
      </c>
      <c r="J4" s="49"/>
      <c r="K4" s="49"/>
      <c r="L4" s="344" t="s">
        <v>699</v>
      </c>
      <c r="M4" s="377"/>
    </row>
    <row r="5" spans="1:14" x14ac:dyDescent="0.3">
      <c r="B5" s="367"/>
      <c r="C5" s="48"/>
      <c r="D5" s="48"/>
      <c r="E5" s="69"/>
      <c r="F5" s="49"/>
      <c r="I5" s="49"/>
      <c r="J5" s="49"/>
      <c r="L5" s="49"/>
      <c r="M5" s="377"/>
    </row>
    <row r="6" spans="1:14" x14ac:dyDescent="0.3">
      <c r="A6" s="181"/>
      <c r="B6" s="367" t="s">
        <v>846</v>
      </c>
      <c r="C6" s="48"/>
      <c r="D6" s="69">
        <v>15000</v>
      </c>
      <c r="E6" s="69"/>
      <c r="F6" s="49" t="s">
        <v>849</v>
      </c>
      <c r="I6" s="69">
        <v>7500</v>
      </c>
      <c r="J6" s="691" t="s">
        <v>723</v>
      </c>
      <c r="K6" s="69"/>
      <c r="L6" s="69">
        <v>10000</v>
      </c>
      <c r="M6" s="368" t="s">
        <v>723</v>
      </c>
    </row>
    <row r="7" spans="1:14" x14ac:dyDescent="0.3">
      <c r="A7" s="181"/>
      <c r="B7" s="367" t="s">
        <v>708</v>
      </c>
      <c r="C7" s="48"/>
      <c r="D7" s="69">
        <v>10000</v>
      </c>
      <c r="E7" s="69"/>
      <c r="F7" s="49"/>
      <c r="I7" s="69"/>
      <c r="J7" s="69"/>
      <c r="K7" s="69"/>
      <c r="L7" s="69"/>
      <c r="M7" s="368"/>
    </row>
    <row r="8" spans="1:14" x14ac:dyDescent="0.3">
      <c r="A8" s="181"/>
      <c r="B8" s="367"/>
      <c r="C8" s="48" t="s">
        <v>700</v>
      </c>
      <c r="D8" s="48"/>
      <c r="E8" s="48"/>
      <c r="F8" s="369">
        <v>0.5</v>
      </c>
      <c r="G8" s="369"/>
      <c r="H8" s="369"/>
      <c r="I8" s="369">
        <v>1</v>
      </c>
      <c r="J8" s="49"/>
      <c r="L8" s="369">
        <v>1</v>
      </c>
      <c r="M8" s="370"/>
    </row>
    <row r="9" spans="1:14" x14ac:dyDescent="0.3">
      <c r="A9" s="181"/>
      <c r="B9" s="371"/>
      <c r="C9" s="146" t="s">
        <v>701</v>
      </c>
      <c r="D9" s="146"/>
      <c r="E9" s="146"/>
      <c r="F9" s="372">
        <v>0.2</v>
      </c>
      <c r="G9" s="372"/>
      <c r="H9" s="372"/>
      <c r="I9" s="372">
        <v>0.8</v>
      </c>
      <c r="J9" s="67"/>
      <c r="K9" s="67"/>
      <c r="L9" s="372">
        <v>0.8</v>
      </c>
      <c r="M9" s="373"/>
    </row>
    <row r="10" spans="1:14" hidden="1" x14ac:dyDescent="0.3">
      <c r="A10" s="181"/>
      <c r="B10" s="367"/>
      <c r="C10" s="48"/>
      <c r="D10" s="48"/>
      <c r="E10" s="69"/>
      <c r="F10" s="49"/>
      <c r="I10" s="69"/>
      <c r="J10" s="69"/>
      <c r="K10" s="69"/>
      <c r="L10" s="69"/>
      <c r="M10" s="368"/>
    </row>
    <row r="11" spans="1:14" x14ac:dyDescent="0.3">
      <c r="A11" s="181"/>
      <c r="B11" s="693" t="s">
        <v>723</v>
      </c>
      <c r="C11" s="891" t="s">
        <v>696</v>
      </c>
      <c r="D11" s="891"/>
      <c r="E11" s="891"/>
      <c r="F11" s="891"/>
      <c r="G11" s="891"/>
      <c r="H11" s="891"/>
      <c r="I11" s="891"/>
      <c r="J11" s="891"/>
      <c r="K11" s="891"/>
      <c r="L11" s="891"/>
      <c r="M11" s="694"/>
    </row>
    <row r="12" spans="1:14" ht="9" customHeight="1" x14ac:dyDescent="0.3">
      <c r="A12" s="181"/>
      <c r="E12" s="79"/>
      <c r="I12" s="79"/>
      <c r="J12" s="79"/>
      <c r="K12" s="79"/>
      <c r="L12" s="79"/>
      <c r="M12" s="79"/>
    </row>
    <row r="13" spans="1:14" ht="9" customHeight="1" x14ac:dyDescent="0.3"/>
    <row r="14" spans="1:14" x14ac:dyDescent="0.3">
      <c r="B14" s="892" t="s">
        <v>721</v>
      </c>
      <c r="C14" s="893"/>
      <c r="D14" s="893"/>
      <c r="E14" s="893"/>
      <c r="F14" s="893"/>
      <c r="G14" s="893"/>
      <c r="H14" s="893"/>
      <c r="I14" s="893"/>
      <c r="J14" s="893"/>
      <c r="K14" s="893"/>
      <c r="L14" s="893"/>
      <c r="M14" s="690"/>
    </row>
    <row r="15" spans="1:14" x14ac:dyDescent="0.3">
      <c r="B15" s="367"/>
      <c r="C15" s="48"/>
      <c r="D15" s="48"/>
      <c r="E15" s="48"/>
      <c r="F15" s="49" t="s">
        <v>697</v>
      </c>
      <c r="I15" s="49" t="s">
        <v>698</v>
      </c>
      <c r="J15" s="49"/>
      <c r="L15" s="49" t="s">
        <v>699</v>
      </c>
      <c r="M15" s="377"/>
      <c r="N15" s="96"/>
    </row>
    <row r="16" spans="1:14" x14ac:dyDescent="0.3">
      <c r="B16" s="384" t="s">
        <v>702</v>
      </c>
      <c r="C16" s="48"/>
      <c r="D16" s="48"/>
      <c r="E16" s="48"/>
      <c r="F16" s="374">
        <f>+F8*F9</f>
        <v>0.1</v>
      </c>
      <c r="G16" s="369"/>
      <c r="H16" s="369"/>
      <c r="I16" s="374">
        <f>+I8*I9</f>
        <v>0.8</v>
      </c>
      <c r="J16" s="49"/>
      <c r="L16" s="374">
        <f>+L8*L9</f>
        <v>0.8</v>
      </c>
      <c r="M16" s="370"/>
      <c r="N16" s="96"/>
    </row>
    <row r="17" spans="2:14" x14ac:dyDescent="0.3">
      <c r="B17" s="384" t="s">
        <v>703</v>
      </c>
      <c r="C17" s="48"/>
      <c r="D17" s="48"/>
      <c r="E17" s="48"/>
      <c r="F17" s="375">
        <f>+$D$7*F16</f>
        <v>1000</v>
      </c>
      <c r="G17" s="53"/>
      <c r="H17" s="53"/>
      <c r="I17" s="375">
        <f>+$D$7*I16</f>
        <v>8000</v>
      </c>
      <c r="J17" s="53"/>
      <c r="K17" s="53"/>
      <c r="L17" s="375">
        <f>+$D$7*L16</f>
        <v>8000</v>
      </c>
      <c r="M17" s="695"/>
      <c r="N17" s="96"/>
    </row>
    <row r="18" spans="2:14" x14ac:dyDescent="0.3">
      <c r="B18" s="384" t="s">
        <v>704</v>
      </c>
      <c r="C18" s="48"/>
      <c r="D18" s="48"/>
      <c r="E18" s="48"/>
      <c r="F18" s="49">
        <v>0</v>
      </c>
      <c r="I18" s="49">
        <f>+I6</f>
        <v>7500</v>
      </c>
      <c r="J18" s="49"/>
      <c r="L18" s="49">
        <f>+L6</f>
        <v>10000</v>
      </c>
      <c r="M18" s="377"/>
      <c r="N18" s="96"/>
    </row>
    <row r="19" spans="2:14" x14ac:dyDescent="0.3">
      <c r="B19" s="675" t="s">
        <v>707</v>
      </c>
      <c r="C19" s="146"/>
      <c r="D19" s="146"/>
      <c r="E19" s="146"/>
      <c r="F19" s="676">
        <f>+F17-F18</f>
        <v>1000</v>
      </c>
      <c r="G19" s="677"/>
      <c r="H19" s="676"/>
      <c r="I19" s="676">
        <f>+I17-I18</f>
        <v>500</v>
      </c>
      <c r="J19" s="677"/>
      <c r="K19" s="676" t="s">
        <v>764</v>
      </c>
      <c r="L19" s="676">
        <f>+L17-L18</f>
        <v>-2000</v>
      </c>
      <c r="M19" s="696"/>
      <c r="N19" s="96"/>
    </row>
    <row r="20" spans="2:14" ht="39.4" customHeight="1" x14ac:dyDescent="0.3">
      <c r="B20" s="689" t="s">
        <v>764</v>
      </c>
      <c r="C20" s="895" t="s">
        <v>765</v>
      </c>
      <c r="D20" s="895"/>
      <c r="E20" s="895"/>
      <c r="F20" s="895"/>
      <c r="G20" s="895"/>
      <c r="H20" s="895"/>
      <c r="I20" s="895"/>
      <c r="J20" s="895"/>
      <c r="K20" s="895"/>
      <c r="L20" s="895"/>
      <c r="M20" s="896"/>
      <c r="N20" s="96"/>
    </row>
    <row r="21" spans="2:14" x14ac:dyDescent="0.3">
      <c r="B21" s="48"/>
      <c r="C21" s="48"/>
      <c r="D21" s="48"/>
      <c r="E21" s="48"/>
      <c r="F21" s="49"/>
      <c r="I21" s="49"/>
      <c r="J21" s="49"/>
      <c r="L21" s="49"/>
      <c r="M21" s="49"/>
      <c r="N21" s="96"/>
    </row>
    <row r="22" spans="2:14" x14ac:dyDescent="0.3">
      <c r="J22" s="49"/>
      <c r="N22" s="96"/>
    </row>
    <row r="23" spans="2:14" x14ac:dyDescent="0.3">
      <c r="B23" s="892" t="s">
        <v>709</v>
      </c>
      <c r="C23" s="893"/>
      <c r="D23" s="893"/>
      <c r="E23" s="893"/>
      <c r="F23" s="893"/>
      <c r="G23" s="893"/>
      <c r="H23" s="893"/>
      <c r="I23" s="893"/>
      <c r="J23" s="893"/>
      <c r="K23" s="893"/>
      <c r="L23" s="893"/>
      <c r="M23" s="893"/>
      <c r="N23" s="894"/>
    </row>
    <row r="24" spans="2:14" x14ac:dyDescent="0.3">
      <c r="B24" s="367"/>
      <c r="C24" s="48"/>
      <c r="D24" s="48"/>
      <c r="E24" s="48"/>
      <c r="F24" s="897" t="s">
        <v>697</v>
      </c>
      <c r="G24" s="897"/>
      <c r="H24" s="638"/>
      <c r="I24" s="897" t="s">
        <v>698</v>
      </c>
      <c r="J24" s="897"/>
      <c r="K24" s="638"/>
      <c r="L24" s="897" t="s">
        <v>848</v>
      </c>
      <c r="M24" s="897"/>
      <c r="N24" s="898"/>
    </row>
    <row r="25" spans="2:14" ht="21" x14ac:dyDescent="0.45">
      <c r="B25" s="367"/>
      <c r="C25" s="48"/>
      <c r="D25" s="48"/>
      <c r="E25" s="48"/>
      <c r="F25" s="58" t="s">
        <v>705</v>
      </c>
      <c r="G25" s="58" t="s">
        <v>706</v>
      </c>
      <c r="H25" s="58"/>
      <c r="I25" s="58" t="s">
        <v>705</v>
      </c>
      <c r="J25" s="58" t="s">
        <v>706</v>
      </c>
      <c r="K25" s="58"/>
      <c r="L25" s="58" t="s">
        <v>705</v>
      </c>
      <c r="M25" s="58"/>
      <c r="N25" s="376" t="s">
        <v>706</v>
      </c>
    </row>
    <row r="26" spans="2:14" x14ac:dyDescent="0.3">
      <c r="B26" s="367" t="s">
        <v>71</v>
      </c>
      <c r="C26" s="48"/>
      <c r="D26" s="48"/>
      <c r="E26" s="48"/>
      <c r="F26" s="49"/>
      <c r="I26" s="49">
        <f>+I18</f>
        <v>7500</v>
      </c>
      <c r="J26" s="49"/>
      <c r="L26" s="49">
        <f>+L18</f>
        <v>10000</v>
      </c>
      <c r="M26" s="49"/>
      <c r="N26" s="377"/>
    </row>
    <row r="27" spans="2:14" x14ac:dyDescent="0.3">
      <c r="B27" s="367" t="s">
        <v>707</v>
      </c>
      <c r="C27" s="48"/>
      <c r="D27" s="48"/>
      <c r="E27" s="48"/>
      <c r="F27" s="49">
        <f>+F19</f>
        <v>1000</v>
      </c>
      <c r="I27" s="49">
        <f>+I19</f>
        <v>500</v>
      </c>
      <c r="J27" s="49"/>
      <c r="L27" s="49"/>
      <c r="M27" s="49"/>
      <c r="N27" s="377"/>
    </row>
    <row r="28" spans="2:14" x14ac:dyDescent="0.3">
      <c r="B28" s="371"/>
      <c r="C28" s="146" t="s">
        <v>55</v>
      </c>
      <c r="D28" s="146"/>
      <c r="E28" s="146"/>
      <c r="F28" s="67"/>
      <c r="G28" s="67">
        <f>+F17</f>
        <v>1000</v>
      </c>
      <c r="H28" s="67"/>
      <c r="I28" s="67"/>
      <c r="J28" s="67">
        <f>+I17</f>
        <v>8000</v>
      </c>
      <c r="K28" s="67"/>
      <c r="L28" s="67"/>
      <c r="M28" s="67"/>
      <c r="N28" s="378">
        <f>+L18</f>
        <v>10000</v>
      </c>
    </row>
    <row r="29" spans="2:14" x14ac:dyDescent="0.3">
      <c r="B29" s="673" t="s">
        <v>847</v>
      </c>
      <c r="C29" s="48" t="s">
        <v>762</v>
      </c>
      <c r="D29" s="48"/>
      <c r="E29" s="48"/>
      <c r="F29" s="49"/>
      <c r="I29" s="49"/>
      <c r="J29" s="49"/>
      <c r="L29" s="49"/>
      <c r="M29" s="49"/>
      <c r="N29" s="377"/>
    </row>
    <row r="30" spans="2:14" x14ac:dyDescent="0.3">
      <c r="B30" s="385"/>
      <c r="C30" s="146" t="s">
        <v>763</v>
      </c>
      <c r="D30" s="146"/>
      <c r="E30" s="146"/>
      <c r="F30" s="67"/>
      <c r="G30" s="67"/>
      <c r="H30" s="67"/>
      <c r="I30" s="67"/>
      <c r="J30" s="67"/>
      <c r="K30" s="67"/>
      <c r="L30" s="67"/>
      <c r="M30" s="67"/>
      <c r="N30" s="378"/>
    </row>
    <row r="31" spans="2:14" x14ac:dyDescent="0.3">
      <c r="J31" s="49"/>
      <c r="N31" s="49"/>
    </row>
    <row r="32" spans="2:14" x14ac:dyDescent="0.3">
      <c r="J32" s="49"/>
      <c r="N32" s="49"/>
    </row>
    <row r="33" spans="2:14" x14ac:dyDescent="0.3">
      <c r="B33" s="892" t="s">
        <v>879</v>
      </c>
      <c r="C33" s="893"/>
      <c r="D33" s="893"/>
      <c r="E33" s="893"/>
      <c r="F33" s="893"/>
      <c r="G33" s="893"/>
      <c r="H33" s="893"/>
      <c r="I33" s="893"/>
      <c r="J33" s="893"/>
      <c r="K33" s="893"/>
      <c r="L33" s="893"/>
      <c r="M33" s="893"/>
      <c r="N33" s="894"/>
    </row>
    <row r="34" spans="2:14" x14ac:dyDescent="0.3">
      <c r="B34" s="367"/>
      <c r="C34" s="48"/>
      <c r="D34" s="48"/>
      <c r="E34" s="48"/>
      <c r="F34" s="897" t="s">
        <v>697</v>
      </c>
      <c r="G34" s="897"/>
      <c r="H34" s="382"/>
      <c r="I34" s="897" t="s">
        <v>698</v>
      </c>
      <c r="J34" s="897"/>
      <c r="K34" s="382"/>
      <c r="L34" s="897" t="s">
        <v>698</v>
      </c>
      <c r="M34" s="897"/>
      <c r="N34" s="898"/>
    </row>
    <row r="35" spans="2:14" ht="21" x14ac:dyDescent="0.45">
      <c r="B35" s="367"/>
      <c r="C35" s="48"/>
      <c r="D35" s="48"/>
      <c r="E35" s="48"/>
      <c r="F35" s="58" t="s">
        <v>705</v>
      </c>
      <c r="G35" s="58" t="s">
        <v>706</v>
      </c>
      <c r="H35" s="58"/>
      <c r="I35" s="58" t="s">
        <v>705</v>
      </c>
      <c r="J35" s="58" t="s">
        <v>706</v>
      </c>
      <c r="K35" s="58"/>
      <c r="L35" s="58" t="s">
        <v>705</v>
      </c>
      <c r="M35" s="58"/>
      <c r="N35" s="376" t="s">
        <v>706</v>
      </c>
    </row>
    <row r="36" spans="2:14" x14ac:dyDescent="0.3">
      <c r="B36" s="367" t="s">
        <v>710</v>
      </c>
      <c r="C36" s="48"/>
      <c r="D36" s="48"/>
      <c r="E36" s="48"/>
      <c r="F36" s="899" t="s">
        <v>36</v>
      </c>
      <c r="G36" s="899"/>
      <c r="I36" s="49">
        <f>+I18</f>
        <v>7500</v>
      </c>
      <c r="J36" s="49"/>
      <c r="L36" s="49">
        <f>+L18</f>
        <v>10000</v>
      </c>
      <c r="M36" s="49"/>
      <c r="N36" s="379"/>
    </row>
    <row r="37" spans="2:14" x14ac:dyDescent="0.3">
      <c r="B37" s="371"/>
      <c r="C37" s="146" t="s">
        <v>546</v>
      </c>
      <c r="D37" s="146"/>
      <c r="E37" s="146"/>
      <c r="F37" s="67"/>
      <c r="G37" s="67"/>
      <c r="H37" s="67"/>
      <c r="I37" s="67"/>
      <c r="J37" s="67">
        <f>+I6</f>
        <v>7500</v>
      </c>
      <c r="K37" s="67"/>
      <c r="L37" s="67"/>
      <c r="M37" s="67"/>
      <c r="N37" s="674">
        <f>+L18</f>
        <v>10000</v>
      </c>
    </row>
    <row r="38" spans="2:14" x14ac:dyDescent="0.3">
      <c r="B38" s="385" t="s">
        <v>880</v>
      </c>
      <c r="C38" s="146" t="s">
        <v>724</v>
      </c>
      <c r="D38" s="146"/>
      <c r="E38" s="146"/>
      <c r="F38" s="67"/>
      <c r="G38" s="67"/>
      <c r="H38" s="67"/>
      <c r="I38" s="67"/>
      <c r="J38" s="67"/>
      <c r="K38" s="67"/>
      <c r="L38" s="67"/>
      <c r="M38" s="67"/>
      <c r="N38" s="202"/>
    </row>
  </sheetData>
  <mergeCells count="13">
    <mergeCell ref="F36:G36"/>
    <mergeCell ref="F34:G34"/>
    <mergeCell ref="I34:J34"/>
    <mergeCell ref="L34:N34"/>
    <mergeCell ref="B33:N33"/>
    <mergeCell ref="C11:L11"/>
    <mergeCell ref="B3:M3"/>
    <mergeCell ref="C20:M20"/>
    <mergeCell ref="B23:N23"/>
    <mergeCell ref="F24:G24"/>
    <mergeCell ref="I24:J24"/>
    <mergeCell ref="L24:N24"/>
    <mergeCell ref="B14:L14"/>
  </mergeCells>
  <pageMargins left="0.7" right="0.7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2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9" defaultRowHeight="15.75" x14ac:dyDescent="0.25"/>
  <cols>
    <col min="1" max="1" width="12.140625" style="498" customWidth="1"/>
    <col min="2" max="2" width="6.140625" style="498" customWidth="1"/>
    <col min="3" max="3" width="5.5703125" style="389" customWidth="1"/>
    <col min="4" max="4" width="45.140625" style="389" customWidth="1"/>
    <col min="5" max="5" width="11.5703125" style="388" bestFit="1" customWidth="1"/>
    <col min="6" max="6" width="15.28515625" style="388" customWidth="1"/>
    <col min="7" max="7" width="4" style="389" customWidth="1"/>
    <col min="8" max="8" width="5.5703125" style="389" customWidth="1"/>
    <col min="9" max="9" width="50.42578125" style="389" customWidth="1"/>
    <col min="10" max="11" width="10.85546875" style="388" bestFit="1" customWidth="1"/>
    <col min="12" max="12" width="4.7109375" style="389" customWidth="1"/>
    <col min="13" max="13" width="5.5703125" style="389" customWidth="1"/>
    <col min="14" max="14" width="49.85546875" style="389" customWidth="1"/>
    <col min="15" max="16" width="11.5703125" style="388" bestFit="1" customWidth="1"/>
    <col min="17" max="16384" width="9" style="389"/>
  </cols>
  <sheetData>
    <row r="1" spans="1:17" ht="14.65" customHeight="1" x14ac:dyDescent="0.25">
      <c r="A1" s="732" t="s">
        <v>154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</row>
    <row r="2" spans="1:17" x14ac:dyDescent="0.25">
      <c r="A2" s="498" t="s">
        <v>726</v>
      </c>
      <c r="H2" s="390"/>
    </row>
    <row r="3" spans="1:17" x14ac:dyDescent="0.25">
      <c r="A3" s="389"/>
      <c r="B3" s="389"/>
      <c r="C3" s="393"/>
      <c r="D3" s="393"/>
      <c r="E3" s="392"/>
      <c r="F3" s="392"/>
      <c r="G3" s="393"/>
      <c r="H3" s="393"/>
      <c r="I3" s="393"/>
      <c r="J3" s="392"/>
      <c r="K3" s="392"/>
      <c r="L3" s="393"/>
      <c r="M3" s="393"/>
      <c r="N3" s="393"/>
      <c r="O3" s="392"/>
      <c r="P3" s="392"/>
      <c r="Q3" s="393"/>
    </row>
    <row r="4" spans="1:17" ht="15.75" customHeight="1" x14ac:dyDescent="0.25">
      <c r="A4" s="391"/>
      <c r="B4" s="391"/>
      <c r="C4" s="737" t="s">
        <v>19</v>
      </c>
      <c r="D4" s="738"/>
      <c r="E4" s="738"/>
      <c r="F4" s="739"/>
      <c r="G4" s="393"/>
      <c r="H4" s="737" t="s">
        <v>818</v>
      </c>
      <c r="I4" s="738"/>
      <c r="J4" s="738"/>
      <c r="K4" s="739"/>
      <c r="L4" s="393"/>
      <c r="M4" s="737" t="s">
        <v>20</v>
      </c>
      <c r="N4" s="738"/>
      <c r="O4" s="738"/>
      <c r="P4" s="739"/>
      <c r="Q4" s="393"/>
    </row>
    <row r="5" spans="1:17" x14ac:dyDescent="0.25">
      <c r="A5" s="391"/>
      <c r="B5" s="391"/>
      <c r="C5" s="397"/>
      <c r="D5" s="397"/>
      <c r="E5" s="395" t="s">
        <v>0</v>
      </c>
      <c r="F5" s="395" t="s">
        <v>1</v>
      </c>
      <c r="G5" s="393"/>
      <c r="H5" s="397"/>
      <c r="I5" s="397"/>
      <c r="J5" s="395" t="s">
        <v>0</v>
      </c>
      <c r="K5" s="395" t="s">
        <v>1</v>
      </c>
      <c r="L5" s="393"/>
      <c r="M5" s="397"/>
      <c r="N5" s="397"/>
      <c r="O5" s="395" t="s">
        <v>0</v>
      </c>
      <c r="P5" s="395" t="s">
        <v>1</v>
      </c>
      <c r="Q5" s="393"/>
    </row>
    <row r="6" spans="1:17" ht="14.65" customHeight="1" x14ac:dyDescent="0.25">
      <c r="A6" s="398" t="s">
        <v>49</v>
      </c>
      <c r="B6" s="422"/>
      <c r="C6" s="396"/>
      <c r="D6" s="396"/>
      <c r="E6" s="499"/>
      <c r="F6" s="499"/>
      <c r="G6" s="393"/>
      <c r="H6" s="396"/>
      <c r="I6" s="396"/>
      <c r="J6" s="499"/>
      <c r="K6" s="499"/>
      <c r="L6" s="393"/>
      <c r="M6" s="396"/>
      <c r="N6" s="396"/>
      <c r="O6" s="499"/>
      <c r="P6" s="499"/>
      <c r="Q6" s="393"/>
    </row>
    <row r="7" spans="1:17" x14ac:dyDescent="0.25">
      <c r="A7" s="391"/>
      <c r="B7" s="391"/>
      <c r="C7" s="404"/>
      <c r="D7" s="404"/>
      <c r="E7" s="409"/>
      <c r="F7" s="409"/>
      <c r="G7" s="393"/>
      <c r="H7" s="404"/>
      <c r="I7" s="404"/>
      <c r="J7" s="409"/>
      <c r="K7" s="409"/>
      <c r="L7" s="393"/>
      <c r="M7" s="404" t="str">
        <f>+C8</f>
        <v>Cash</v>
      </c>
      <c r="N7" s="404"/>
      <c r="O7" s="409">
        <f>+E8</f>
        <v>257000</v>
      </c>
      <c r="P7" s="409"/>
      <c r="Q7" s="393"/>
    </row>
    <row r="8" spans="1:17" ht="14.65" customHeight="1" x14ac:dyDescent="0.25">
      <c r="A8" s="400">
        <f>+'Example 1 Assumptions Summary '!F4</f>
        <v>41091</v>
      </c>
      <c r="B8" s="400"/>
      <c r="C8" s="389" t="s">
        <v>2</v>
      </c>
      <c r="E8" s="409">
        <f>+'Ex. 1 Calcs - District'!K16</f>
        <v>257000</v>
      </c>
      <c r="F8" s="389"/>
      <c r="G8" s="393"/>
      <c r="H8" s="397"/>
      <c r="I8" s="404" t="s">
        <v>36</v>
      </c>
      <c r="J8" s="409"/>
      <c r="K8" s="409"/>
      <c r="L8" s="393"/>
      <c r="M8" s="404" t="str">
        <f>+C9</f>
        <v>Lease receivable</v>
      </c>
      <c r="N8" s="405"/>
      <c r="O8" s="409">
        <f>+E9</f>
        <v>1722404</v>
      </c>
      <c r="P8" s="409"/>
      <c r="Q8" s="393"/>
    </row>
    <row r="9" spans="1:17" ht="14.65" customHeight="1" x14ac:dyDescent="0.25">
      <c r="A9" s="391"/>
      <c r="B9" s="391"/>
      <c r="C9" s="404" t="s">
        <v>48</v>
      </c>
      <c r="D9" s="404"/>
      <c r="E9" s="409">
        <f>ROUND(+'Ex. 1 Calcs - District'!F16,0)</f>
        <v>1722404</v>
      </c>
      <c r="F9" s="409"/>
      <c r="G9" s="393"/>
      <c r="H9" s="405"/>
      <c r="I9" s="405"/>
      <c r="J9" s="409"/>
      <c r="K9" s="409"/>
      <c r="L9" s="393"/>
      <c r="M9" s="405"/>
      <c r="N9" s="404" t="str">
        <f>+D10</f>
        <v>Unearned revenue - lease payment</v>
      </c>
      <c r="O9" s="409"/>
      <c r="P9" s="402">
        <f>+F10</f>
        <v>17000</v>
      </c>
      <c r="Q9" s="393"/>
    </row>
    <row r="10" spans="1:17" ht="14.65" customHeight="1" x14ac:dyDescent="0.25">
      <c r="A10" s="391"/>
      <c r="B10" s="391"/>
      <c r="C10" s="404"/>
      <c r="D10" s="493" t="s">
        <v>160</v>
      </c>
      <c r="E10" s="409"/>
      <c r="F10" s="409">
        <f>+'Ex. 1 Calcs - District'!J16</f>
        <v>17000</v>
      </c>
      <c r="G10" s="393"/>
      <c r="H10" s="405"/>
      <c r="I10" s="405"/>
      <c r="J10" s="409"/>
      <c r="K10" s="409"/>
      <c r="L10" s="393"/>
      <c r="M10" s="405"/>
      <c r="N10" s="404" t="str">
        <f>+D11</f>
        <v>Deferred inflow of resources</v>
      </c>
      <c r="O10" s="409"/>
      <c r="P10" s="409">
        <f>+F11</f>
        <v>1962404</v>
      </c>
      <c r="Q10" s="393"/>
    </row>
    <row r="11" spans="1:17" x14ac:dyDescent="0.25">
      <c r="A11" s="391"/>
      <c r="B11" s="391"/>
      <c r="C11" s="405"/>
      <c r="D11" s="404" t="s">
        <v>21</v>
      </c>
      <c r="E11" s="424"/>
      <c r="F11" s="409">
        <f>ROUND(+'Ex. 1 Calcs - District'!H6,0)</f>
        <v>1962404</v>
      </c>
      <c r="G11" s="393"/>
      <c r="H11" s="397"/>
      <c r="I11" s="404"/>
      <c r="J11" s="409"/>
      <c r="K11" s="409"/>
      <c r="L11" s="393"/>
      <c r="M11" s="405" t="str">
        <f t="shared" ref="M11:M12" si="0">C12</f>
        <v xml:space="preserve">[To record inception of lease with The County of Example,  </v>
      </c>
      <c r="N11" s="405"/>
      <c r="O11" s="409"/>
      <c r="P11" s="409"/>
      <c r="Q11" s="393"/>
    </row>
    <row r="12" spans="1:17" x14ac:dyDescent="0.25">
      <c r="A12" s="391"/>
      <c r="B12" s="391"/>
      <c r="C12" s="405" t="s">
        <v>871</v>
      </c>
      <c r="E12" s="409"/>
      <c r="F12" s="409"/>
      <c r="G12" s="393"/>
      <c r="H12" s="397"/>
      <c r="I12" s="404"/>
      <c r="J12" s="409"/>
      <c r="K12" s="409"/>
      <c r="L12" s="393"/>
      <c r="M12" s="405" t="str">
        <f t="shared" si="0"/>
        <v>receipt of first and final years' base rent payments, and</v>
      </c>
      <c r="N12" s="404"/>
      <c r="O12" s="409"/>
      <c r="P12" s="409"/>
      <c r="Q12" s="393"/>
    </row>
    <row r="13" spans="1:17" ht="15" customHeight="1" x14ac:dyDescent="0.25">
      <c r="A13" s="391"/>
      <c r="B13" s="391"/>
      <c r="C13" s="405" t="s">
        <v>870</v>
      </c>
      <c r="D13" s="405"/>
      <c r="E13" s="409"/>
      <c r="F13" s="409"/>
      <c r="G13" s="393"/>
      <c r="H13" s="397"/>
      <c r="I13" s="404"/>
      <c r="J13" s="409"/>
      <c r="K13" s="409"/>
      <c r="L13" s="393"/>
      <c r="M13" s="404" t="str">
        <f>C14</f>
        <v>unearned revenue for variable payment not previously</v>
      </c>
      <c r="N13" s="404"/>
      <c r="O13" s="409"/>
      <c r="P13" s="409"/>
      <c r="Q13" s="393"/>
    </row>
    <row r="14" spans="1:17" x14ac:dyDescent="0.25">
      <c r="A14" s="391"/>
      <c r="B14" s="391"/>
      <c r="C14" s="405" t="s">
        <v>628</v>
      </c>
      <c r="D14" s="404"/>
      <c r="E14" s="409"/>
      <c r="F14" s="409"/>
      <c r="G14" s="393"/>
      <c r="H14" s="404"/>
      <c r="I14" s="404"/>
      <c r="J14" s="409"/>
      <c r="K14" s="409"/>
      <c r="L14" s="393"/>
      <c r="M14" s="389" t="str">
        <f>C15</f>
        <v>included in receivable]</v>
      </c>
      <c r="O14" s="409"/>
      <c r="P14" s="409"/>
      <c r="Q14" s="393"/>
    </row>
    <row r="15" spans="1:17" x14ac:dyDescent="0.25">
      <c r="A15" s="391"/>
      <c r="B15" s="391"/>
      <c r="C15" s="405" t="s">
        <v>629</v>
      </c>
      <c r="D15" s="404"/>
      <c r="E15" s="409"/>
      <c r="F15" s="409"/>
      <c r="G15" s="393"/>
      <c r="H15" s="404"/>
      <c r="I15" s="404"/>
      <c r="J15" s="409"/>
      <c r="K15" s="409"/>
      <c r="L15" s="393"/>
      <c r="O15" s="409"/>
      <c r="P15" s="409"/>
      <c r="Q15" s="393"/>
    </row>
    <row r="16" spans="1:17" x14ac:dyDescent="0.25">
      <c r="A16" s="391"/>
      <c r="B16" s="391"/>
      <c r="C16" s="405"/>
      <c r="D16" s="404"/>
      <c r="E16" s="409"/>
      <c r="F16" s="409"/>
      <c r="G16" s="393"/>
      <c r="H16" s="404"/>
      <c r="I16" s="404"/>
      <c r="J16" s="409"/>
      <c r="K16" s="409"/>
      <c r="L16" s="393"/>
      <c r="O16" s="409"/>
      <c r="P16" s="409"/>
      <c r="Q16" s="393"/>
    </row>
    <row r="17" spans="1:17" x14ac:dyDescent="0.25">
      <c r="A17" s="391"/>
      <c r="B17" s="391"/>
      <c r="C17" s="405"/>
      <c r="D17" s="404"/>
      <c r="E17" s="409"/>
      <c r="F17" s="409"/>
      <c r="G17" s="393"/>
      <c r="H17" s="404"/>
      <c r="I17" s="404"/>
      <c r="J17" s="409"/>
      <c r="K17" s="409"/>
      <c r="L17" s="393"/>
      <c r="O17" s="409"/>
      <c r="P17" s="409"/>
      <c r="Q17" s="393"/>
    </row>
    <row r="18" spans="1:17" x14ac:dyDescent="0.25">
      <c r="A18" s="400" t="s">
        <v>52</v>
      </c>
      <c r="B18" s="400"/>
      <c r="C18" s="493" t="str">
        <f>+D11</f>
        <v>Deferred inflow of resources</v>
      </c>
      <c r="D18" s="484"/>
      <c r="E18" s="409">
        <f>+'Ex. 1 Calcs - District'!R16</f>
        <v>96968.631578947374</v>
      </c>
      <c r="F18" s="409"/>
      <c r="G18" s="393"/>
      <c r="H18" s="397"/>
      <c r="I18" s="404" t="s">
        <v>36</v>
      </c>
      <c r="J18" s="409"/>
      <c r="K18" s="409"/>
      <c r="L18" s="393"/>
      <c r="M18" s="404" t="str">
        <f>+C18</f>
        <v>Deferred inflow of resources</v>
      </c>
      <c r="N18" s="404"/>
      <c r="O18" s="409">
        <f>+E18</f>
        <v>96968.631578947374</v>
      </c>
      <c r="P18" s="409"/>
      <c r="Q18" s="393"/>
    </row>
    <row r="19" spans="1:17" x14ac:dyDescent="0.25">
      <c r="A19" s="400"/>
      <c r="B19" s="400"/>
      <c r="C19" s="493" t="str">
        <f>+D10</f>
        <v>Unearned revenue - lease payment</v>
      </c>
      <c r="D19" s="484"/>
      <c r="E19" s="409">
        <f>+F10</f>
        <v>17000</v>
      </c>
      <c r="F19" s="409"/>
      <c r="G19" s="393"/>
      <c r="H19" s="397"/>
      <c r="I19" s="404"/>
      <c r="J19" s="409"/>
      <c r="K19" s="409"/>
      <c r="L19" s="393"/>
      <c r="M19" s="404" t="str">
        <f>+C19</f>
        <v>Unearned revenue - lease payment</v>
      </c>
      <c r="O19" s="409">
        <f>+E19</f>
        <v>17000</v>
      </c>
      <c r="P19" s="409"/>
      <c r="Q19" s="393"/>
    </row>
    <row r="20" spans="1:17" x14ac:dyDescent="0.25">
      <c r="A20" s="391"/>
      <c r="B20" s="391"/>
      <c r="C20" s="397"/>
      <c r="D20" s="404" t="s">
        <v>50</v>
      </c>
      <c r="E20" s="409"/>
      <c r="F20" s="409">
        <f>+E18+E19</f>
        <v>113968.63157894737</v>
      </c>
      <c r="G20" s="393"/>
      <c r="H20" s="397"/>
      <c r="I20" s="404"/>
      <c r="J20" s="409"/>
      <c r="K20" s="409"/>
      <c r="L20" s="393"/>
      <c r="M20" s="397"/>
      <c r="N20" s="404" t="str">
        <f>+D20</f>
        <v>Lease revenue</v>
      </c>
      <c r="O20" s="409"/>
      <c r="P20" s="409">
        <f>+F20</f>
        <v>113968.63157894737</v>
      </c>
      <c r="Q20" s="393"/>
    </row>
    <row r="21" spans="1:17" ht="14.65" customHeight="1" x14ac:dyDescent="0.25">
      <c r="A21" s="391"/>
      <c r="B21" s="391"/>
      <c r="C21" s="405" t="s">
        <v>23</v>
      </c>
      <c r="D21" s="404"/>
      <c r="E21" s="409"/>
      <c r="F21" s="409"/>
      <c r="G21" s="393"/>
      <c r="H21" s="404"/>
      <c r="I21" s="404"/>
      <c r="J21" s="409"/>
      <c r="K21" s="409"/>
      <c r="L21" s="393"/>
      <c r="M21" s="405" t="str">
        <f>+C21</f>
        <v>[To record amortization of deferred inflow of resources</v>
      </c>
      <c r="N21" s="404"/>
      <c r="O21" s="409"/>
      <c r="P21" s="409"/>
      <c r="Q21" s="393"/>
    </row>
    <row r="22" spans="1:17" ht="14.65" customHeight="1" x14ac:dyDescent="0.25">
      <c r="A22" s="391"/>
      <c r="B22" s="391"/>
      <c r="C22" s="405" t="s">
        <v>819</v>
      </c>
      <c r="D22" s="404"/>
      <c r="E22" s="409"/>
      <c r="F22" s="409"/>
      <c r="G22" s="393"/>
      <c r="H22" s="404"/>
      <c r="I22" s="404"/>
      <c r="J22" s="409"/>
      <c r="K22" s="409"/>
      <c r="L22" s="393"/>
      <c r="M22" s="405" t="str">
        <f>+C22</f>
        <v xml:space="preserve">associated with installment and prepayments and </v>
      </c>
      <c r="N22" s="404"/>
      <c r="O22" s="409"/>
      <c r="P22" s="409"/>
      <c r="Q22" s="393"/>
    </row>
    <row r="23" spans="1:17" ht="14.65" customHeight="1" x14ac:dyDescent="0.25">
      <c r="A23" s="391"/>
      <c r="B23" s="391"/>
      <c r="C23" s="405" t="s">
        <v>162</v>
      </c>
      <c r="D23" s="405"/>
      <c r="E23" s="500"/>
      <c r="F23" s="409"/>
      <c r="G23" s="393"/>
      <c r="H23" s="404"/>
      <c r="I23" s="404"/>
      <c r="J23" s="404"/>
      <c r="K23" s="409"/>
      <c r="L23" s="393"/>
      <c r="M23" s="405" t="str">
        <f>+C23</f>
        <v>recognize lease revenue for year]</v>
      </c>
      <c r="N23" s="404"/>
      <c r="O23" s="409"/>
      <c r="P23" s="409"/>
      <c r="Q23" s="393"/>
    </row>
    <row r="24" spans="1:17" ht="14.65" customHeight="1" x14ac:dyDescent="0.25">
      <c r="A24" s="391"/>
      <c r="B24" s="391"/>
      <c r="C24" s="405"/>
      <c r="D24" s="405"/>
      <c r="E24" s="500"/>
      <c r="F24" s="409"/>
      <c r="G24" s="393"/>
      <c r="H24" s="404"/>
      <c r="I24" s="404"/>
      <c r="J24" s="404"/>
      <c r="K24" s="409"/>
      <c r="L24" s="393"/>
      <c r="M24" s="484"/>
      <c r="N24" s="404"/>
      <c r="O24" s="409"/>
      <c r="P24" s="409"/>
      <c r="Q24" s="393"/>
    </row>
    <row r="25" spans="1:17" ht="14.65" customHeight="1" x14ac:dyDescent="0.25">
      <c r="A25" s="391"/>
      <c r="B25" s="391"/>
      <c r="C25" s="405"/>
      <c r="D25" s="405"/>
      <c r="E25" s="409"/>
      <c r="F25" s="409"/>
      <c r="G25" s="393"/>
      <c r="H25" s="501"/>
      <c r="I25" s="501"/>
      <c r="J25" s="409"/>
      <c r="K25" s="409"/>
      <c r="L25" s="393"/>
      <c r="M25" s="397"/>
      <c r="N25" s="404"/>
      <c r="O25" s="409"/>
      <c r="P25" s="409"/>
      <c r="Q25" s="393"/>
    </row>
    <row r="26" spans="1:17" s="415" customFormat="1" ht="14.65" customHeight="1" x14ac:dyDescent="0.25">
      <c r="A26" s="400" t="s">
        <v>53</v>
      </c>
      <c r="B26" s="400"/>
      <c r="C26" s="397"/>
      <c r="D26" s="404" t="s">
        <v>36</v>
      </c>
      <c r="E26" s="409"/>
      <c r="F26" s="409"/>
      <c r="G26" s="393"/>
      <c r="H26" s="493" t="s">
        <v>24</v>
      </c>
      <c r="I26" s="493"/>
      <c r="J26" s="409">
        <f>+'Ex. 1 Calcs - District'!O16</f>
        <v>33333.333333333336</v>
      </c>
      <c r="K26" s="409"/>
      <c r="L26" s="393"/>
      <c r="M26" s="404" t="str">
        <f>+H26</f>
        <v>Depreciation expense</v>
      </c>
      <c r="N26" s="404"/>
      <c r="O26" s="409">
        <f>+J26</f>
        <v>33333.333333333336</v>
      </c>
      <c r="P26" s="409"/>
      <c r="Q26" s="393"/>
    </row>
    <row r="27" spans="1:17" s="415" customFormat="1" ht="14.65" customHeight="1" x14ac:dyDescent="0.25">
      <c r="A27" s="485"/>
      <c r="B27" s="485"/>
      <c r="C27" s="397"/>
      <c r="D27" s="404"/>
      <c r="E27" s="409"/>
      <c r="F27" s="409"/>
      <c r="G27" s="393"/>
      <c r="H27" s="493"/>
      <c r="I27" s="493" t="s">
        <v>25</v>
      </c>
      <c r="J27" s="409"/>
      <c r="K27" s="409">
        <f>+J26</f>
        <v>33333.333333333336</v>
      </c>
      <c r="L27" s="393"/>
      <c r="M27" s="397"/>
      <c r="N27" s="404" t="str">
        <f>+I27</f>
        <v>Accumulated depreciation - building</v>
      </c>
      <c r="O27" s="409"/>
      <c r="P27" s="409">
        <f>+K27</f>
        <v>33333.333333333336</v>
      </c>
      <c r="Q27" s="393"/>
    </row>
    <row r="28" spans="1:17" ht="14.25" customHeight="1" x14ac:dyDescent="0.25">
      <c r="A28" s="391"/>
      <c r="B28" s="391"/>
      <c r="C28" s="404"/>
      <c r="D28" s="404"/>
      <c r="E28" s="409"/>
      <c r="F28" s="409"/>
      <c r="G28" s="393"/>
      <c r="H28" s="405" t="s">
        <v>32</v>
      </c>
      <c r="I28" s="404"/>
      <c r="J28" s="409"/>
      <c r="K28" s="409"/>
      <c r="L28" s="393"/>
      <c r="M28" s="405" t="s">
        <v>32</v>
      </c>
      <c r="N28" s="404"/>
      <c r="O28" s="409"/>
      <c r="P28" s="409"/>
      <c r="Q28" s="393"/>
    </row>
    <row r="29" spans="1:17" x14ac:dyDescent="0.25">
      <c r="A29" s="391"/>
      <c r="B29" s="391"/>
      <c r="D29" s="404"/>
      <c r="E29" s="409"/>
      <c r="F29" s="409"/>
      <c r="G29" s="393"/>
      <c r="H29" s="404"/>
      <c r="I29" s="404"/>
      <c r="J29" s="409"/>
      <c r="K29" s="409"/>
      <c r="L29" s="393"/>
      <c r="M29" s="404"/>
      <c r="N29" s="404"/>
      <c r="O29" s="409"/>
      <c r="P29" s="409"/>
      <c r="Q29" s="393"/>
    </row>
    <row r="30" spans="1:17" x14ac:dyDescent="0.25">
      <c r="A30" s="391"/>
      <c r="B30" s="391"/>
      <c r="D30" s="404"/>
      <c r="E30" s="409"/>
      <c r="F30" s="409"/>
      <c r="G30" s="393"/>
      <c r="H30" s="404"/>
      <c r="I30" s="404"/>
      <c r="J30" s="409"/>
      <c r="K30" s="409"/>
      <c r="L30" s="393"/>
      <c r="M30" s="404"/>
      <c r="N30" s="404"/>
      <c r="O30" s="409"/>
      <c r="P30" s="409"/>
      <c r="Q30" s="393"/>
    </row>
    <row r="31" spans="1:17" x14ac:dyDescent="0.25">
      <c r="A31" s="400" t="s">
        <v>54</v>
      </c>
      <c r="B31" s="400"/>
      <c r="C31" s="397"/>
      <c r="D31" s="404" t="s">
        <v>36</v>
      </c>
      <c r="E31" s="409"/>
      <c r="F31" s="409"/>
      <c r="G31" s="393"/>
      <c r="H31" s="404" t="s">
        <v>27</v>
      </c>
      <c r="I31" s="404"/>
      <c r="J31" s="409">
        <f>+K32</f>
        <v>43060</v>
      </c>
      <c r="K31" s="409"/>
      <c r="L31" s="393"/>
      <c r="M31" s="404" t="str">
        <f t="shared" ref="M31" si="1">H31</f>
        <v>Interest receivable</v>
      </c>
      <c r="N31" s="404"/>
      <c r="O31" s="388">
        <f t="shared" ref="O31" si="2">J31</f>
        <v>43060</v>
      </c>
      <c r="Q31" s="393"/>
    </row>
    <row r="32" spans="1:17" x14ac:dyDescent="0.25">
      <c r="A32" s="391"/>
      <c r="B32" s="391"/>
      <c r="C32" s="404"/>
      <c r="D32" s="404"/>
      <c r="E32" s="409"/>
      <c r="F32" s="409"/>
      <c r="G32" s="393"/>
      <c r="H32" s="405"/>
      <c r="I32" s="404" t="s">
        <v>22</v>
      </c>
      <c r="J32" s="409"/>
      <c r="K32" s="409">
        <f>+'Ex. 1 Calcs - District'!D17</f>
        <v>43060</v>
      </c>
      <c r="L32" s="393"/>
      <c r="M32" s="405"/>
      <c r="N32" s="404" t="str">
        <f t="shared" ref="N32" si="3">I32</f>
        <v>Interest income</v>
      </c>
      <c r="P32" s="388">
        <f t="shared" ref="P32" si="4">K32</f>
        <v>43060</v>
      </c>
      <c r="Q32" s="393"/>
    </row>
    <row r="33" spans="1:17" x14ac:dyDescent="0.25">
      <c r="A33" s="391"/>
      <c r="B33" s="391"/>
      <c r="C33" s="404"/>
      <c r="D33" s="404"/>
      <c r="E33" s="409"/>
      <c r="F33" s="409"/>
      <c r="G33" s="393"/>
      <c r="H33" s="405" t="s">
        <v>842</v>
      </c>
      <c r="I33" s="404"/>
      <c r="J33" s="409"/>
      <c r="K33" s="409"/>
      <c r="L33" s="393"/>
      <c r="M33" s="405" t="str">
        <f t="shared" ref="M33" si="5">H33</f>
        <v>[To accrue interest receivable for 7/1/12 through 6/30/13 that will be received on 7/1/13]</v>
      </c>
      <c r="N33" s="404"/>
      <c r="Q33" s="393"/>
    </row>
    <row r="34" spans="1:17" x14ac:dyDescent="0.25">
      <c r="A34" s="391"/>
      <c r="B34" s="391"/>
      <c r="D34" s="404"/>
      <c r="E34" s="409"/>
      <c r="F34" s="409"/>
      <c r="G34" s="393"/>
      <c r="H34" s="404"/>
      <c r="I34" s="404"/>
      <c r="J34" s="409"/>
      <c r="K34" s="409"/>
      <c r="L34" s="393"/>
      <c r="M34" s="404"/>
      <c r="N34" s="404"/>
      <c r="O34" s="409"/>
      <c r="P34" s="409"/>
      <c r="Q34" s="393"/>
    </row>
    <row r="35" spans="1:17" x14ac:dyDescent="0.25">
      <c r="A35" s="391"/>
      <c r="B35" s="391"/>
      <c r="D35" s="404"/>
      <c r="E35" s="409"/>
      <c r="F35" s="409"/>
      <c r="G35" s="393"/>
      <c r="H35" s="404"/>
      <c r="I35" s="404"/>
      <c r="J35" s="409"/>
      <c r="K35" s="409"/>
      <c r="L35" s="393"/>
      <c r="M35" s="404"/>
      <c r="N35" s="404"/>
      <c r="O35" s="409"/>
      <c r="P35" s="409"/>
      <c r="Q35" s="393"/>
    </row>
    <row r="36" spans="1:17" x14ac:dyDescent="0.25">
      <c r="A36" s="398" t="s">
        <v>59</v>
      </c>
      <c r="B36" s="422"/>
      <c r="D36" s="404"/>
      <c r="E36" s="409"/>
      <c r="F36" s="409"/>
      <c r="G36" s="393"/>
      <c r="H36" s="404"/>
      <c r="I36" s="404"/>
      <c r="J36" s="409"/>
      <c r="K36" s="409"/>
      <c r="L36" s="393"/>
      <c r="M36" s="404"/>
      <c r="N36" s="404"/>
      <c r="O36" s="409"/>
      <c r="P36" s="409"/>
      <c r="Q36" s="393"/>
    </row>
    <row r="37" spans="1:17" ht="14.65" customHeight="1" x14ac:dyDescent="0.25">
      <c r="A37" s="400">
        <v>41456</v>
      </c>
      <c r="B37" s="400"/>
      <c r="C37" s="404" t="str">
        <f>+C8</f>
        <v>Cash</v>
      </c>
      <c r="D37" s="405"/>
      <c r="E37" s="409">
        <f>+'Ex. 1 Calcs - District'!K17</f>
        <v>143500</v>
      </c>
      <c r="F37" s="409"/>
      <c r="G37" s="393"/>
      <c r="H37" s="493" t="str">
        <f>+D39</f>
        <v>Interest income</v>
      </c>
      <c r="I37" s="404"/>
      <c r="J37" s="409">
        <f>+K38</f>
        <v>43060</v>
      </c>
      <c r="K37" s="409"/>
      <c r="L37" s="393"/>
      <c r="M37" s="404" t="str">
        <f>+C37</f>
        <v>Cash</v>
      </c>
      <c r="N37" s="404"/>
      <c r="O37" s="409">
        <f>+E37</f>
        <v>143500</v>
      </c>
      <c r="P37" s="409"/>
      <c r="Q37" s="393"/>
    </row>
    <row r="38" spans="1:17" ht="14.65" customHeight="1" x14ac:dyDescent="0.25">
      <c r="A38" s="391"/>
      <c r="B38" s="391"/>
      <c r="C38" s="405"/>
      <c r="D38" s="404" t="str">
        <f>+C9</f>
        <v>Lease receivable</v>
      </c>
      <c r="E38" s="409"/>
      <c r="F38" s="409">
        <f>ROUND(+'Ex. 1 Calcs - District'!E17,0)</f>
        <v>76940</v>
      </c>
      <c r="G38" s="393"/>
      <c r="H38" s="493"/>
      <c r="I38" s="493" t="str">
        <f>+H31</f>
        <v>Interest receivable</v>
      </c>
      <c r="J38" s="409"/>
      <c r="K38" s="409">
        <f>+J31</f>
        <v>43060</v>
      </c>
      <c r="L38" s="393"/>
      <c r="M38" s="397"/>
      <c r="N38" s="404" t="str">
        <f>+D38</f>
        <v>Lease receivable</v>
      </c>
      <c r="O38" s="409"/>
      <c r="P38" s="409">
        <f>+F38</f>
        <v>76940</v>
      </c>
      <c r="Q38" s="393"/>
    </row>
    <row r="39" spans="1:17" ht="14.65" customHeight="1" x14ac:dyDescent="0.25">
      <c r="A39" s="391"/>
      <c r="B39" s="391"/>
      <c r="C39" s="484"/>
      <c r="D39" s="493" t="s">
        <v>22</v>
      </c>
      <c r="E39" s="409"/>
      <c r="F39" s="409">
        <f>ROUND(+'Ex. 1 Calcs - District'!D17,0)</f>
        <v>43060</v>
      </c>
      <c r="G39" s="393"/>
      <c r="H39" s="484" t="s">
        <v>859</v>
      </c>
      <c r="I39" s="493"/>
      <c r="J39" s="409"/>
      <c r="K39" s="409"/>
      <c r="L39" s="393"/>
      <c r="M39" s="397"/>
      <c r="N39" s="389" t="str">
        <f>+I38</f>
        <v>Interest receivable</v>
      </c>
      <c r="O39" s="389"/>
      <c r="P39" s="402">
        <f>+K38</f>
        <v>43060</v>
      </c>
      <c r="Q39" s="393"/>
    </row>
    <row r="40" spans="1:17" ht="14.65" customHeight="1" x14ac:dyDescent="0.25">
      <c r="A40" s="391"/>
      <c r="B40" s="391"/>
      <c r="C40" s="484"/>
      <c r="D40" s="493" t="s">
        <v>161</v>
      </c>
      <c r="E40" s="409"/>
      <c r="F40" s="409">
        <f>+'Ex. 1 Calcs - District'!L17</f>
        <v>23500</v>
      </c>
      <c r="G40" s="393"/>
      <c r="H40" s="484"/>
      <c r="I40" s="493"/>
      <c r="J40" s="409"/>
      <c r="K40" s="409"/>
      <c r="L40" s="393"/>
      <c r="M40" s="397"/>
      <c r="N40" s="389" t="str">
        <f>+D40</f>
        <v xml:space="preserve">Unearned revenue - lease payment </v>
      </c>
      <c r="O40" s="389"/>
      <c r="P40" s="402">
        <f>+F40</f>
        <v>23500</v>
      </c>
      <c r="Q40" s="393"/>
    </row>
    <row r="41" spans="1:17" ht="14.65" customHeight="1" x14ac:dyDescent="0.25">
      <c r="A41" s="391"/>
      <c r="B41" s="391"/>
      <c r="C41" s="405" t="s">
        <v>820</v>
      </c>
      <c r="D41" s="405"/>
      <c r="E41" s="409"/>
      <c r="F41" s="409"/>
      <c r="G41" s="393"/>
      <c r="H41" s="405"/>
      <c r="I41" s="405"/>
      <c r="J41" s="409"/>
      <c r="K41" s="409"/>
      <c r="L41" s="393"/>
      <c r="M41" s="405" t="str">
        <f>C41</f>
        <v xml:space="preserve">[To record receipt of annual installment payment from </v>
      </c>
      <c r="N41" s="404"/>
      <c r="O41" s="409"/>
      <c r="P41" s="409"/>
      <c r="Q41" s="393"/>
    </row>
    <row r="42" spans="1:17" ht="14.25" customHeight="1" x14ac:dyDescent="0.25">
      <c r="A42" s="391"/>
      <c r="B42" s="391"/>
      <c r="C42" s="405" t="s">
        <v>660</v>
      </c>
      <c r="D42" s="404"/>
      <c r="E42" s="409"/>
      <c r="F42" s="409"/>
      <c r="G42" s="393"/>
      <c r="H42" s="404"/>
      <c r="I42" s="404"/>
      <c r="J42" s="409"/>
      <c r="K42" s="409"/>
      <c r="L42" s="393"/>
      <c r="M42" s="406" t="str">
        <f>C42</f>
        <v xml:space="preserve">lessee including variable payment, based on actual </v>
      </c>
      <c r="N42" s="404"/>
      <c r="O42" s="409"/>
      <c r="P42" s="409"/>
      <c r="Q42" s="393"/>
    </row>
    <row r="43" spans="1:17" ht="14.25" customHeight="1" x14ac:dyDescent="0.25">
      <c r="A43" s="391"/>
      <c r="B43" s="391"/>
      <c r="C43" s="405" t="s">
        <v>661</v>
      </c>
      <c r="D43" s="404"/>
      <c r="E43" s="409"/>
      <c r="F43" s="409"/>
      <c r="G43" s="393"/>
      <c r="H43" s="404"/>
      <c r="I43" s="404"/>
      <c r="J43" s="409"/>
      <c r="K43" s="409"/>
      <c r="L43" s="393"/>
      <c r="M43" s="406" t="str">
        <f t="shared" ref="M43:M44" si="6">C43</f>
        <v>increase for CY 2012 to CPPI of 5%, not previously in lease</v>
      </c>
      <c r="N43" s="404"/>
      <c r="O43" s="409"/>
      <c r="P43" s="409"/>
      <c r="Q43" s="393"/>
    </row>
    <row r="44" spans="1:17" ht="14.25" customHeight="1" x14ac:dyDescent="0.25">
      <c r="A44" s="391"/>
      <c r="B44" s="391"/>
      <c r="C44" s="405" t="s">
        <v>662</v>
      </c>
      <c r="D44" s="404"/>
      <c r="E44" s="409"/>
      <c r="F44" s="409"/>
      <c r="G44" s="393"/>
      <c r="H44" s="404"/>
      <c r="I44" s="404"/>
      <c r="J44" s="409"/>
      <c r="K44" s="409"/>
      <c r="L44" s="393"/>
      <c r="M44" s="406" t="str">
        <f t="shared" si="6"/>
        <v>receivable]</v>
      </c>
      <c r="N44" s="404"/>
      <c r="O44" s="409"/>
      <c r="P44" s="409"/>
      <c r="Q44" s="393"/>
    </row>
    <row r="45" spans="1:17" ht="14.25" customHeight="1" x14ac:dyDescent="0.25">
      <c r="A45" s="391"/>
      <c r="B45" s="391"/>
      <c r="C45" s="405"/>
      <c r="D45" s="404"/>
      <c r="E45" s="409"/>
      <c r="F45" s="409"/>
      <c r="G45" s="393"/>
      <c r="H45" s="404"/>
      <c r="I45" s="404"/>
      <c r="J45" s="409"/>
      <c r="K45" s="409"/>
      <c r="L45" s="393"/>
      <c r="N45" s="404"/>
      <c r="O45" s="409"/>
      <c r="P45" s="409"/>
      <c r="Q45" s="393"/>
    </row>
    <row r="46" spans="1:17" ht="14.65" customHeight="1" x14ac:dyDescent="0.25">
      <c r="A46" s="391"/>
      <c r="B46" s="391"/>
      <c r="C46" s="397"/>
      <c r="D46" s="404"/>
      <c r="E46" s="409"/>
      <c r="F46" s="409"/>
      <c r="G46" s="393"/>
      <c r="H46" s="404"/>
      <c r="I46" s="404"/>
      <c r="J46" s="409"/>
      <c r="K46" s="409"/>
      <c r="L46" s="393"/>
      <c r="M46" s="397"/>
      <c r="N46" s="404"/>
      <c r="O46" s="409"/>
      <c r="P46" s="409"/>
      <c r="Q46" s="393"/>
    </row>
    <row r="47" spans="1:17" ht="14.65" customHeight="1" x14ac:dyDescent="0.25">
      <c r="A47" s="400" t="s">
        <v>61</v>
      </c>
      <c r="B47" s="400"/>
      <c r="C47" s="493" t="str">
        <f>+C18</f>
        <v>Deferred inflow of resources</v>
      </c>
      <c r="D47" s="484"/>
      <c r="E47" s="409">
        <f>ROUND(+'Ex. 1 Calcs - District'!R17,0)</f>
        <v>96969</v>
      </c>
      <c r="F47" s="409"/>
      <c r="G47" s="393"/>
      <c r="H47" s="493"/>
      <c r="I47" s="404" t="s">
        <v>36</v>
      </c>
      <c r="J47" s="409"/>
      <c r="K47" s="409"/>
      <c r="L47" s="393"/>
      <c r="M47" s="404" t="str">
        <f>+C47</f>
        <v>Deferred inflow of resources</v>
      </c>
      <c r="N47" s="404"/>
      <c r="O47" s="409">
        <f>+E47+J47</f>
        <v>96969</v>
      </c>
      <c r="P47" s="409"/>
      <c r="Q47" s="393"/>
    </row>
    <row r="48" spans="1:17" ht="14.65" customHeight="1" x14ac:dyDescent="0.25">
      <c r="A48" s="400"/>
      <c r="B48" s="400"/>
      <c r="C48" s="493" t="str">
        <f>+D40</f>
        <v xml:space="preserve">Unearned revenue - lease payment </v>
      </c>
      <c r="D48" s="484"/>
      <c r="E48" s="409">
        <f>+F40</f>
        <v>23500</v>
      </c>
      <c r="F48" s="409"/>
      <c r="G48" s="393"/>
      <c r="H48" s="493"/>
      <c r="I48" s="404"/>
      <c r="J48" s="409"/>
      <c r="K48" s="409"/>
      <c r="L48" s="393"/>
      <c r="M48" s="404" t="str">
        <f>+C48</f>
        <v xml:space="preserve">Unearned revenue - lease payment </v>
      </c>
      <c r="N48" s="404"/>
      <c r="O48" s="409">
        <f>+E48</f>
        <v>23500</v>
      </c>
      <c r="P48" s="409"/>
      <c r="Q48" s="393"/>
    </row>
    <row r="49" spans="1:85" ht="14.65" customHeight="1" x14ac:dyDescent="0.25">
      <c r="A49" s="391"/>
      <c r="B49" s="391"/>
      <c r="C49" s="397"/>
      <c r="D49" s="404" t="str">
        <f>+D20</f>
        <v>Lease revenue</v>
      </c>
      <c r="E49" s="409"/>
      <c r="F49" s="409">
        <f>+E47+E48</f>
        <v>120469</v>
      </c>
      <c r="G49" s="393"/>
      <c r="H49" s="397"/>
      <c r="I49" s="404"/>
      <c r="J49" s="493"/>
      <c r="K49" s="603"/>
      <c r="L49" s="393"/>
      <c r="M49" s="397"/>
      <c r="N49" s="404" t="str">
        <f>+D49</f>
        <v>Lease revenue</v>
      </c>
      <c r="O49" s="409"/>
      <c r="P49" s="409">
        <f>+F49+K49</f>
        <v>120469</v>
      </c>
      <c r="Q49" s="393"/>
    </row>
    <row r="50" spans="1:85" ht="14.65" customHeight="1" x14ac:dyDescent="0.25">
      <c r="A50" s="391"/>
      <c r="B50" s="391"/>
      <c r="C50" s="405" t="s">
        <v>23</v>
      </c>
      <c r="D50" s="404"/>
      <c r="E50" s="409"/>
      <c r="F50" s="409"/>
      <c r="G50" s="393"/>
      <c r="H50" s="405"/>
      <c r="I50" s="404"/>
      <c r="J50" s="409"/>
      <c r="K50" s="409"/>
      <c r="L50" s="393"/>
      <c r="M50" s="405" t="str">
        <f t="shared" ref="M50:M52" si="7">C50</f>
        <v>[To record amortization of deferred inflow of resources</v>
      </c>
      <c r="N50" s="404"/>
      <c r="O50" s="409"/>
      <c r="P50" s="409"/>
      <c r="Q50" s="393"/>
    </row>
    <row r="51" spans="1:85" ht="14.65" customHeight="1" x14ac:dyDescent="0.25">
      <c r="A51" s="391"/>
      <c r="B51" s="391"/>
      <c r="C51" s="405" t="s">
        <v>819</v>
      </c>
      <c r="D51" s="404"/>
      <c r="E51" s="409"/>
      <c r="F51" s="409"/>
      <c r="G51" s="393"/>
      <c r="H51" s="405"/>
      <c r="I51" s="404"/>
      <c r="J51" s="409"/>
      <c r="L51" s="393"/>
      <c r="M51" s="405" t="str">
        <f t="shared" si="7"/>
        <v xml:space="preserve">associated with installment and prepayments and </v>
      </c>
      <c r="N51" s="404"/>
      <c r="O51" s="409"/>
      <c r="P51" s="409"/>
      <c r="Q51" s="393"/>
    </row>
    <row r="52" spans="1:85" ht="14.65" customHeight="1" x14ac:dyDescent="0.25">
      <c r="A52" s="502"/>
      <c r="B52" s="502"/>
      <c r="C52" s="405" t="s">
        <v>162</v>
      </c>
      <c r="D52" s="405"/>
      <c r="E52" s="409"/>
      <c r="F52" s="409"/>
      <c r="G52" s="393"/>
      <c r="H52" s="404"/>
      <c r="I52" s="404"/>
      <c r="J52" s="404"/>
      <c r="K52" s="409"/>
      <c r="L52" s="393"/>
      <c r="M52" s="405" t="str">
        <f t="shared" si="7"/>
        <v>recognize lease revenue for year]</v>
      </c>
      <c r="N52" s="493"/>
      <c r="O52" s="409"/>
      <c r="P52" s="409"/>
      <c r="Q52" s="393"/>
    </row>
    <row r="53" spans="1:85" ht="14.65" customHeight="1" x14ac:dyDescent="0.25">
      <c r="A53" s="502"/>
      <c r="B53" s="502"/>
      <c r="C53" s="405"/>
      <c r="D53" s="405"/>
      <c r="E53" s="409"/>
      <c r="F53" s="409"/>
      <c r="G53" s="393"/>
      <c r="H53" s="404"/>
      <c r="I53" s="404"/>
      <c r="J53" s="404"/>
      <c r="K53" s="409"/>
      <c r="L53" s="393"/>
      <c r="M53" s="418"/>
      <c r="N53" s="493"/>
      <c r="O53" s="409"/>
      <c r="P53" s="409"/>
      <c r="Q53" s="393"/>
    </row>
    <row r="54" spans="1:85" ht="14.65" customHeight="1" x14ac:dyDescent="0.25">
      <c r="A54" s="391"/>
      <c r="B54" s="391"/>
      <c r="C54" s="405"/>
      <c r="D54" s="405"/>
      <c r="E54" s="500"/>
      <c r="F54" s="409"/>
      <c r="G54" s="393"/>
      <c r="H54" s="404"/>
      <c r="I54" s="404"/>
      <c r="J54" s="404"/>
      <c r="K54" s="409"/>
      <c r="L54" s="393"/>
      <c r="M54" s="484"/>
      <c r="N54" s="404"/>
      <c r="O54" s="409"/>
      <c r="P54" s="409"/>
      <c r="Q54" s="393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5"/>
      <c r="AH54" s="415"/>
      <c r="AI54" s="415"/>
      <c r="AJ54" s="415"/>
      <c r="AK54" s="415"/>
      <c r="AL54" s="415"/>
      <c r="AM54" s="415"/>
      <c r="AN54" s="415"/>
      <c r="AO54" s="415"/>
      <c r="AP54" s="415"/>
      <c r="AQ54" s="415"/>
      <c r="AR54" s="415"/>
      <c r="AS54" s="415"/>
      <c r="AT54" s="415"/>
      <c r="AU54" s="415"/>
      <c r="AV54" s="415"/>
      <c r="AW54" s="415"/>
      <c r="AX54" s="415"/>
      <c r="AY54" s="415"/>
      <c r="AZ54" s="415"/>
      <c r="BA54" s="415"/>
      <c r="BB54" s="415"/>
      <c r="BC54" s="415"/>
      <c r="BD54" s="415"/>
      <c r="BE54" s="415"/>
      <c r="BF54" s="415"/>
      <c r="BG54" s="415"/>
      <c r="BH54" s="415"/>
      <c r="BI54" s="415"/>
      <c r="BJ54" s="415"/>
      <c r="BK54" s="415"/>
      <c r="BL54" s="415"/>
      <c r="BM54" s="415"/>
      <c r="BN54" s="415"/>
      <c r="BO54" s="415"/>
      <c r="BP54" s="415"/>
      <c r="BQ54" s="415"/>
      <c r="BR54" s="415"/>
      <c r="BS54" s="415"/>
      <c r="BT54" s="415"/>
      <c r="BU54" s="415"/>
      <c r="BV54" s="415"/>
      <c r="BW54" s="415"/>
      <c r="BX54" s="415"/>
      <c r="BY54" s="415"/>
      <c r="BZ54" s="415"/>
      <c r="CA54" s="415"/>
      <c r="CB54" s="415"/>
      <c r="CC54" s="415"/>
      <c r="CD54" s="415"/>
      <c r="CE54" s="415"/>
      <c r="CF54" s="415"/>
      <c r="CG54" s="503"/>
    </row>
    <row r="55" spans="1:85" ht="14.65" customHeight="1" x14ac:dyDescent="0.25">
      <c r="A55" s="400" t="s">
        <v>62</v>
      </c>
      <c r="B55" s="400"/>
      <c r="C55" s="397"/>
      <c r="D55" s="404" t="s">
        <v>36</v>
      </c>
      <c r="E55" s="409"/>
      <c r="F55" s="409"/>
      <c r="G55" s="393"/>
      <c r="H55" s="493" t="s">
        <v>24</v>
      </c>
      <c r="I55" s="493"/>
      <c r="J55" s="409">
        <f>ROUND(+'Ex. 1 Calcs - District'!O17,0)</f>
        <v>33333</v>
      </c>
      <c r="K55" s="409"/>
      <c r="L55" s="393"/>
      <c r="M55" s="404" t="str">
        <f>+H55</f>
        <v>Depreciation expense</v>
      </c>
      <c r="N55" s="404"/>
      <c r="O55" s="409">
        <f>+J55</f>
        <v>33333</v>
      </c>
      <c r="P55" s="409"/>
      <c r="Q55" s="393"/>
    </row>
    <row r="56" spans="1:85" ht="14.65" customHeight="1" x14ac:dyDescent="0.25">
      <c r="A56" s="485"/>
      <c r="B56" s="485"/>
      <c r="C56" s="397"/>
      <c r="D56" s="404"/>
      <c r="E56" s="409"/>
      <c r="F56" s="409"/>
      <c r="G56" s="393"/>
      <c r="H56" s="493"/>
      <c r="I56" s="493" t="s">
        <v>25</v>
      </c>
      <c r="J56" s="409"/>
      <c r="K56" s="409">
        <f>+J55</f>
        <v>33333</v>
      </c>
      <c r="L56" s="393"/>
      <c r="M56" s="397"/>
      <c r="N56" s="404" t="str">
        <f>+I56</f>
        <v>Accumulated depreciation - building</v>
      </c>
      <c r="O56" s="409"/>
      <c r="P56" s="409">
        <f>+K56</f>
        <v>33333</v>
      </c>
      <c r="Q56" s="393"/>
    </row>
    <row r="57" spans="1:85" ht="14.65" customHeight="1" x14ac:dyDescent="0.25">
      <c r="A57" s="391"/>
      <c r="B57" s="391"/>
      <c r="C57" s="404"/>
      <c r="D57" s="404"/>
      <c r="E57" s="409"/>
      <c r="F57" s="409"/>
      <c r="G57" s="393"/>
      <c r="H57" s="405" t="s">
        <v>32</v>
      </c>
      <c r="I57" s="404"/>
      <c r="J57" s="409"/>
      <c r="K57" s="409"/>
      <c r="L57" s="393"/>
      <c r="M57" s="405" t="s">
        <v>32</v>
      </c>
      <c r="N57" s="404"/>
      <c r="O57" s="409"/>
      <c r="P57" s="409"/>
      <c r="Q57" s="393"/>
    </row>
    <row r="58" spans="1:85" x14ac:dyDescent="0.25">
      <c r="A58" s="391"/>
      <c r="B58" s="391"/>
      <c r="D58" s="404"/>
      <c r="E58" s="409"/>
      <c r="F58" s="409"/>
      <c r="G58" s="393"/>
      <c r="H58" s="404"/>
      <c r="I58" s="404"/>
      <c r="J58" s="409"/>
      <c r="K58" s="409"/>
      <c r="L58" s="393"/>
      <c r="M58" s="404"/>
      <c r="N58" s="404"/>
      <c r="O58" s="409"/>
      <c r="P58" s="409"/>
      <c r="Q58" s="393"/>
    </row>
    <row r="59" spans="1:85" x14ac:dyDescent="0.25">
      <c r="A59" s="391"/>
      <c r="B59" s="391"/>
      <c r="D59" s="404"/>
      <c r="E59" s="409"/>
      <c r="F59" s="409"/>
      <c r="G59" s="393"/>
      <c r="H59" s="404"/>
      <c r="I59" s="404"/>
      <c r="J59" s="409"/>
      <c r="K59" s="409"/>
      <c r="L59" s="393"/>
      <c r="M59" s="404"/>
      <c r="N59" s="404"/>
      <c r="O59" s="409"/>
      <c r="P59" s="409"/>
      <c r="Q59" s="393"/>
    </row>
    <row r="60" spans="1:85" x14ac:dyDescent="0.25">
      <c r="A60" s="400" t="s">
        <v>63</v>
      </c>
      <c r="B60" s="400"/>
      <c r="C60" s="397"/>
      <c r="D60" s="404" t="s">
        <v>36</v>
      </c>
      <c r="E60" s="409"/>
      <c r="F60" s="409"/>
      <c r="G60" s="393"/>
      <c r="H60" s="404" t="s">
        <v>27</v>
      </c>
      <c r="I60" s="404"/>
      <c r="J60" s="409">
        <f>+K61</f>
        <v>41137</v>
      </c>
      <c r="K60" s="409"/>
      <c r="L60" s="393"/>
      <c r="M60" s="404" t="str">
        <f t="shared" ref="M60" si="8">H60</f>
        <v>Interest receivable</v>
      </c>
      <c r="N60" s="404"/>
      <c r="O60" s="388">
        <f t="shared" ref="O60" si="9">J60</f>
        <v>41137</v>
      </c>
      <c r="Q60" s="393"/>
    </row>
    <row r="61" spans="1:85" x14ac:dyDescent="0.25">
      <c r="A61" s="391"/>
      <c r="B61" s="391"/>
      <c r="C61" s="404"/>
      <c r="D61" s="404"/>
      <c r="E61" s="409"/>
      <c r="F61" s="409"/>
      <c r="G61" s="393"/>
      <c r="H61" s="405"/>
      <c r="I61" s="404" t="s">
        <v>22</v>
      </c>
      <c r="J61" s="409"/>
      <c r="K61" s="409">
        <f>ROUND(+'Ex. 1 Calcs - District'!D18,0)</f>
        <v>41137</v>
      </c>
      <c r="L61" s="393"/>
      <c r="M61" s="405"/>
      <c r="N61" s="404" t="str">
        <f t="shared" ref="N61" si="10">I61</f>
        <v>Interest income</v>
      </c>
      <c r="P61" s="388">
        <f t="shared" ref="P61" si="11">K61</f>
        <v>41137</v>
      </c>
      <c r="Q61" s="393"/>
    </row>
    <row r="62" spans="1:85" x14ac:dyDescent="0.25">
      <c r="A62" s="391"/>
      <c r="B62" s="391"/>
      <c r="C62" s="404"/>
      <c r="D62" s="404"/>
      <c r="E62" s="409"/>
      <c r="F62" s="409"/>
      <c r="G62" s="393"/>
      <c r="H62" s="405" t="s">
        <v>51</v>
      </c>
      <c r="I62" s="404"/>
      <c r="J62" s="409"/>
      <c r="K62" s="409"/>
      <c r="L62" s="393"/>
      <c r="M62" s="405" t="str">
        <f t="shared" ref="M62" si="12">H62</f>
        <v>[To accrue interest receivable on lease]</v>
      </c>
      <c r="N62" s="404"/>
      <c r="Q62" s="393"/>
    </row>
    <row r="63" spans="1:85" x14ac:dyDescent="0.25">
      <c r="A63" s="391"/>
      <c r="B63" s="391"/>
      <c r="C63" s="404"/>
      <c r="D63" s="404"/>
      <c r="E63" s="409"/>
      <c r="F63" s="409"/>
      <c r="G63" s="393"/>
      <c r="H63" s="405"/>
      <c r="I63" s="404"/>
      <c r="J63" s="409"/>
      <c r="K63" s="409"/>
      <c r="L63" s="393"/>
      <c r="M63" s="405"/>
      <c r="N63" s="404"/>
      <c r="Q63" s="393"/>
    </row>
    <row r="64" spans="1:85" x14ac:dyDescent="0.25">
      <c r="A64" s="391"/>
      <c r="B64" s="391"/>
      <c r="C64" s="404"/>
      <c r="D64" s="404"/>
      <c r="E64" s="409"/>
      <c r="F64" s="409"/>
      <c r="G64" s="393"/>
      <c r="H64" s="405"/>
      <c r="I64" s="404"/>
      <c r="J64" s="409"/>
      <c r="K64" s="409"/>
      <c r="L64" s="393"/>
      <c r="M64" s="405"/>
      <c r="N64" s="404"/>
      <c r="Q64" s="393"/>
    </row>
    <row r="65" spans="1:17" x14ac:dyDescent="0.25">
      <c r="A65" s="398" t="s">
        <v>64</v>
      </c>
      <c r="B65" s="422"/>
      <c r="D65" s="404"/>
      <c r="E65" s="409"/>
      <c r="F65" s="409"/>
      <c r="G65" s="393"/>
      <c r="H65" s="404"/>
      <c r="I65" s="404"/>
      <c r="J65" s="409"/>
      <c r="K65" s="409"/>
      <c r="L65" s="393"/>
      <c r="M65" s="404"/>
      <c r="N65" s="404"/>
      <c r="O65" s="409"/>
      <c r="P65" s="409"/>
      <c r="Q65" s="393"/>
    </row>
    <row r="66" spans="1:17" ht="14.65" customHeight="1" x14ac:dyDescent="0.25">
      <c r="A66" s="400">
        <v>41821</v>
      </c>
      <c r="B66" s="400"/>
      <c r="C66" s="404" t="str">
        <f t="shared" ref="C66" si="13">C37</f>
        <v>Cash</v>
      </c>
      <c r="D66" s="405"/>
      <c r="E66" s="409">
        <f>+'Ex. 1 Calcs - District'!K18</f>
        <v>145260</v>
      </c>
      <c r="F66" s="409"/>
      <c r="G66" s="393"/>
      <c r="H66" s="493" t="str">
        <f>+D68</f>
        <v>Interest income</v>
      </c>
      <c r="I66" s="404"/>
      <c r="J66" s="409">
        <f>+K67</f>
        <v>41137</v>
      </c>
      <c r="K66" s="409"/>
      <c r="L66" s="393"/>
      <c r="M66" s="404" t="str">
        <f>+C66</f>
        <v>Cash</v>
      </c>
      <c r="N66" s="404"/>
      <c r="O66" s="409">
        <f>+E66</f>
        <v>145260</v>
      </c>
      <c r="P66" s="409"/>
      <c r="Q66" s="393"/>
    </row>
    <row r="67" spans="1:17" ht="14.65" customHeight="1" x14ac:dyDescent="0.25">
      <c r="A67" s="391"/>
      <c r="B67" s="391"/>
      <c r="C67" s="484"/>
      <c r="D67" s="404" t="str">
        <f>D38</f>
        <v>Lease receivable</v>
      </c>
      <c r="E67" s="409"/>
      <c r="F67" s="409">
        <f>ROUND(+'Ex. 1 Calcs - District'!E18,0)</f>
        <v>78863</v>
      </c>
      <c r="G67" s="393"/>
      <c r="H67" s="493"/>
      <c r="I67" s="493" t="str">
        <f>+H60</f>
        <v>Interest receivable</v>
      </c>
      <c r="J67" s="409"/>
      <c r="K67" s="409">
        <f>+J60</f>
        <v>41137</v>
      </c>
      <c r="L67" s="393"/>
      <c r="M67" s="397"/>
      <c r="N67" s="404" t="str">
        <f>+D67</f>
        <v>Lease receivable</v>
      </c>
      <c r="O67" s="409"/>
      <c r="P67" s="409">
        <f>+F67</f>
        <v>78863</v>
      </c>
      <c r="Q67" s="393"/>
    </row>
    <row r="68" spans="1:17" ht="14.65" customHeight="1" x14ac:dyDescent="0.25">
      <c r="A68" s="391"/>
      <c r="B68" s="391"/>
      <c r="C68" s="484"/>
      <c r="D68" s="493" t="str">
        <f>D39</f>
        <v>Interest income</v>
      </c>
      <c r="E68" s="409"/>
      <c r="F68" s="409">
        <f>+ROUND('Ex. 1 Calcs - District'!D18,0)</f>
        <v>41137</v>
      </c>
      <c r="G68" s="393"/>
      <c r="H68" s="484" t="s">
        <v>859</v>
      </c>
      <c r="I68" s="493"/>
      <c r="J68" s="409"/>
      <c r="K68" s="409"/>
      <c r="L68" s="393"/>
      <c r="M68" s="397"/>
      <c r="N68" s="389" t="str">
        <f>+I67</f>
        <v>Interest receivable</v>
      </c>
      <c r="O68" s="389"/>
      <c r="P68" s="402">
        <f>+K67</f>
        <v>41137</v>
      </c>
      <c r="Q68" s="393"/>
    </row>
    <row r="69" spans="1:17" ht="14.65" customHeight="1" x14ac:dyDescent="0.25">
      <c r="A69" s="391"/>
      <c r="B69" s="391"/>
      <c r="D69" s="493" t="str">
        <f>+D40</f>
        <v xml:space="preserve">Unearned revenue - lease payment </v>
      </c>
      <c r="E69" s="389"/>
      <c r="F69" s="409">
        <f>ROUND(+'Ex. 1 Calcs - District'!L18,0)</f>
        <v>25260</v>
      </c>
      <c r="G69" s="393"/>
      <c r="H69" s="493"/>
      <c r="I69" s="493"/>
      <c r="J69" s="409"/>
      <c r="K69" s="409"/>
      <c r="L69" s="393"/>
      <c r="N69" s="389" t="str">
        <f>+D69</f>
        <v xml:space="preserve">Unearned revenue - lease payment </v>
      </c>
      <c r="O69" s="389"/>
      <c r="P69" s="402">
        <f>+F69</f>
        <v>25260</v>
      </c>
      <c r="Q69" s="393"/>
    </row>
    <row r="70" spans="1:17" ht="14.65" customHeight="1" x14ac:dyDescent="0.25">
      <c r="A70" s="391"/>
      <c r="B70" s="391"/>
      <c r="C70" s="405" t="s">
        <v>820</v>
      </c>
      <c r="E70" s="389"/>
      <c r="F70" s="389"/>
      <c r="G70" s="393"/>
      <c r="H70" s="405"/>
      <c r="I70" s="405"/>
      <c r="J70" s="409"/>
      <c r="K70" s="409"/>
      <c r="L70" s="393"/>
      <c r="M70" s="405" t="str">
        <f>C70</f>
        <v xml:space="preserve">[To record receipt of annual installment payment from </v>
      </c>
      <c r="O70" s="389"/>
      <c r="P70" s="389"/>
      <c r="Q70" s="393"/>
    </row>
    <row r="71" spans="1:17" ht="14.25" customHeight="1" x14ac:dyDescent="0.25">
      <c r="A71" s="391"/>
      <c r="B71" s="391"/>
      <c r="C71" s="405" t="s">
        <v>199</v>
      </c>
      <c r="D71" s="404"/>
      <c r="E71" s="409"/>
      <c r="F71" s="409"/>
      <c r="G71" s="393"/>
      <c r="H71" s="404"/>
      <c r="I71" s="404"/>
      <c r="J71" s="409"/>
      <c r="K71" s="409"/>
      <c r="L71" s="393"/>
      <c r="M71" s="406" t="str">
        <f>C71</f>
        <v>lessee based on actual CY 2013 CPPI of 1%]</v>
      </c>
      <c r="N71" s="404"/>
      <c r="O71" s="409"/>
      <c r="P71" s="409"/>
      <c r="Q71" s="393"/>
    </row>
    <row r="72" spans="1:17" ht="14.25" customHeight="1" x14ac:dyDescent="0.25">
      <c r="A72" s="391"/>
      <c r="B72" s="391"/>
      <c r="C72" s="405"/>
      <c r="D72" s="404"/>
      <c r="E72" s="409"/>
      <c r="F72" s="409"/>
      <c r="G72" s="393"/>
      <c r="H72" s="404"/>
      <c r="I72" s="404"/>
      <c r="J72" s="409"/>
      <c r="K72" s="409"/>
      <c r="L72" s="393"/>
      <c r="M72" s="406"/>
      <c r="N72" s="404"/>
      <c r="O72" s="409"/>
      <c r="P72" s="409"/>
      <c r="Q72" s="393"/>
    </row>
    <row r="73" spans="1:17" ht="14.25" customHeight="1" x14ac:dyDescent="0.25">
      <c r="A73" s="391"/>
      <c r="B73" s="391"/>
      <c r="C73" s="404"/>
      <c r="D73" s="404"/>
      <c r="E73" s="409"/>
      <c r="F73" s="409"/>
      <c r="G73" s="393"/>
      <c r="H73" s="404"/>
      <c r="I73" s="404"/>
      <c r="J73" s="409"/>
      <c r="K73" s="409"/>
      <c r="L73" s="393"/>
      <c r="N73" s="404"/>
      <c r="O73" s="409"/>
      <c r="P73" s="409"/>
      <c r="Q73" s="393"/>
    </row>
    <row r="74" spans="1:17" ht="14.65" customHeight="1" x14ac:dyDescent="0.25">
      <c r="A74" s="391"/>
      <c r="B74" s="391"/>
      <c r="C74" s="397"/>
      <c r="D74" s="404"/>
      <c r="E74" s="409"/>
      <c r="F74" s="409"/>
      <c r="G74" s="393"/>
      <c r="H74" s="404"/>
      <c r="I74" s="404"/>
      <c r="J74" s="409"/>
      <c r="K74" s="409"/>
      <c r="L74" s="393"/>
      <c r="M74" s="397"/>
      <c r="N74" s="404"/>
      <c r="O74" s="409"/>
      <c r="P74" s="409"/>
      <c r="Q74" s="393"/>
    </row>
    <row r="75" spans="1:17" ht="14.65" customHeight="1" x14ac:dyDescent="0.25">
      <c r="A75" s="400" t="s">
        <v>65</v>
      </c>
      <c r="B75" s="400"/>
      <c r="C75" s="493" t="str">
        <f>+C47</f>
        <v>Deferred inflow of resources</v>
      </c>
      <c r="D75" s="484"/>
      <c r="E75" s="409">
        <f>ROUND(+'Ex. 1 Calcs - District'!R18,0)</f>
        <v>96969</v>
      </c>
      <c r="F75" s="409"/>
      <c r="G75" s="393"/>
      <c r="H75" s="493"/>
      <c r="I75" s="404" t="s">
        <v>36</v>
      </c>
      <c r="J75" s="409"/>
      <c r="K75" s="409"/>
      <c r="L75" s="393"/>
      <c r="M75" s="404" t="str">
        <f>+C75</f>
        <v>Deferred inflow of resources</v>
      </c>
      <c r="N75" s="404"/>
      <c r="O75" s="409">
        <f>+E75+J75</f>
        <v>96969</v>
      </c>
      <c r="P75" s="409"/>
      <c r="Q75" s="393"/>
    </row>
    <row r="76" spans="1:17" ht="14.65" customHeight="1" x14ac:dyDescent="0.25">
      <c r="A76" s="400"/>
      <c r="B76" s="400"/>
      <c r="C76" s="493" t="str">
        <f>+D69</f>
        <v xml:space="preserve">Unearned revenue - lease payment </v>
      </c>
      <c r="D76" s="484"/>
      <c r="E76" s="409">
        <f>+F69</f>
        <v>25260</v>
      </c>
      <c r="F76" s="409"/>
      <c r="G76" s="393"/>
      <c r="H76" s="493"/>
      <c r="I76" s="404"/>
      <c r="J76" s="409"/>
      <c r="K76" s="409"/>
      <c r="L76" s="393"/>
      <c r="M76" s="404" t="str">
        <f>+C76</f>
        <v xml:space="preserve">Unearned revenue - lease payment </v>
      </c>
      <c r="N76" s="404"/>
      <c r="O76" s="409">
        <f>+E76+J76</f>
        <v>25260</v>
      </c>
      <c r="P76" s="409"/>
      <c r="Q76" s="393"/>
    </row>
    <row r="77" spans="1:17" ht="14.65" customHeight="1" x14ac:dyDescent="0.25">
      <c r="A77" s="391"/>
      <c r="B77" s="391"/>
      <c r="C77" s="397"/>
      <c r="D77" s="404" t="str">
        <f>+D49</f>
        <v>Lease revenue</v>
      </c>
      <c r="E77" s="409"/>
      <c r="F77" s="409">
        <f>+E75+E76</f>
        <v>122229</v>
      </c>
      <c r="G77" s="393"/>
      <c r="H77" s="397"/>
      <c r="I77" s="404"/>
      <c r="J77" s="493"/>
      <c r="K77" s="603"/>
      <c r="L77" s="393"/>
      <c r="M77" s="397"/>
      <c r="N77" s="404" t="str">
        <f>+D77</f>
        <v>Lease revenue</v>
      </c>
      <c r="O77" s="409"/>
      <c r="P77" s="409">
        <f>+F77+K77</f>
        <v>122229</v>
      </c>
      <c r="Q77" s="393"/>
    </row>
    <row r="78" spans="1:17" ht="14.65" customHeight="1" x14ac:dyDescent="0.25">
      <c r="A78" s="391"/>
      <c r="B78" s="391"/>
      <c r="C78" s="405" t="s">
        <v>23</v>
      </c>
      <c r="D78" s="404"/>
      <c r="E78" s="409"/>
      <c r="F78" s="409"/>
      <c r="G78" s="393"/>
      <c r="H78" s="405"/>
      <c r="I78" s="404"/>
      <c r="J78" s="409"/>
      <c r="K78" s="409"/>
      <c r="L78" s="393"/>
      <c r="M78" s="405" t="str">
        <f t="shared" ref="M78:M80" si="14">C78</f>
        <v>[To record amortization of deferred inflow of resources</v>
      </c>
      <c r="N78" s="404"/>
      <c r="O78" s="409"/>
      <c r="P78" s="409"/>
      <c r="Q78" s="393"/>
    </row>
    <row r="79" spans="1:17" ht="14.65" customHeight="1" x14ac:dyDescent="0.25">
      <c r="A79" s="391"/>
      <c r="B79" s="391"/>
      <c r="C79" s="405" t="s">
        <v>819</v>
      </c>
      <c r="D79" s="404"/>
      <c r="E79" s="409"/>
      <c r="F79" s="409"/>
      <c r="G79" s="393"/>
      <c r="H79" s="405"/>
      <c r="I79" s="404"/>
      <c r="J79" s="409"/>
      <c r="L79" s="393"/>
      <c r="M79" s="405" t="str">
        <f t="shared" si="14"/>
        <v xml:space="preserve">associated with installment and prepayments and </v>
      </c>
      <c r="N79" s="404"/>
      <c r="O79" s="409"/>
      <c r="P79" s="409"/>
      <c r="Q79" s="393"/>
    </row>
    <row r="80" spans="1:17" ht="14.65" customHeight="1" x14ac:dyDescent="0.25">
      <c r="A80" s="502"/>
      <c r="B80" s="502"/>
      <c r="C80" s="405" t="s">
        <v>162</v>
      </c>
      <c r="D80" s="404"/>
      <c r="E80" s="409"/>
      <c r="F80" s="409"/>
      <c r="G80" s="393"/>
      <c r="H80" s="404"/>
      <c r="I80" s="404"/>
      <c r="J80" s="404"/>
      <c r="K80" s="409"/>
      <c r="L80" s="393"/>
      <c r="M80" s="405" t="str">
        <f t="shared" si="14"/>
        <v>recognize lease revenue for year]</v>
      </c>
      <c r="N80" s="493"/>
      <c r="O80" s="409"/>
      <c r="P80" s="409"/>
      <c r="Q80" s="393"/>
    </row>
    <row r="81" spans="1:85" ht="14.65" customHeight="1" x14ac:dyDescent="0.25">
      <c r="A81" s="502"/>
      <c r="B81" s="502"/>
      <c r="C81" s="405"/>
      <c r="D81" s="404"/>
      <c r="E81" s="409"/>
      <c r="F81" s="409"/>
      <c r="G81" s="393"/>
      <c r="H81" s="404"/>
      <c r="I81" s="404"/>
      <c r="J81" s="404"/>
      <c r="K81" s="409"/>
      <c r="L81" s="393"/>
      <c r="M81" s="405"/>
      <c r="N81" s="493"/>
      <c r="O81" s="409"/>
      <c r="P81" s="409"/>
      <c r="Q81" s="393"/>
    </row>
    <row r="82" spans="1:85" ht="14.65" customHeight="1" x14ac:dyDescent="0.25">
      <c r="A82" s="391"/>
      <c r="B82" s="391"/>
      <c r="C82" s="405"/>
      <c r="D82" s="405"/>
      <c r="E82" s="500"/>
      <c r="F82" s="409"/>
      <c r="G82" s="393"/>
      <c r="H82" s="404"/>
      <c r="I82" s="404"/>
      <c r="J82" s="404"/>
      <c r="K82" s="409"/>
      <c r="L82" s="393"/>
      <c r="M82" s="484"/>
      <c r="N82" s="404"/>
      <c r="O82" s="409"/>
      <c r="P82" s="409"/>
      <c r="Q82" s="393"/>
      <c r="R82" s="415"/>
      <c r="S82" s="415"/>
      <c r="T82" s="415"/>
      <c r="U82" s="415"/>
      <c r="V82" s="415"/>
      <c r="W82" s="415"/>
      <c r="X82" s="415"/>
      <c r="Y82" s="415"/>
      <c r="Z82" s="415"/>
      <c r="AA82" s="415"/>
      <c r="AB82" s="415"/>
      <c r="AC82" s="415"/>
      <c r="AD82" s="415"/>
      <c r="AE82" s="415"/>
      <c r="AF82" s="415"/>
      <c r="AG82" s="415"/>
      <c r="AH82" s="415"/>
      <c r="AI82" s="415"/>
      <c r="AJ82" s="415"/>
      <c r="AK82" s="415"/>
      <c r="AL82" s="415"/>
      <c r="AM82" s="415"/>
      <c r="AN82" s="415"/>
      <c r="AO82" s="415"/>
      <c r="AP82" s="415"/>
      <c r="AQ82" s="415"/>
      <c r="AR82" s="415"/>
      <c r="AS82" s="415"/>
      <c r="AT82" s="415"/>
      <c r="AU82" s="415"/>
      <c r="AV82" s="415"/>
      <c r="AW82" s="415"/>
      <c r="AX82" s="415"/>
      <c r="AY82" s="415"/>
      <c r="AZ82" s="415"/>
      <c r="BA82" s="415"/>
      <c r="BB82" s="415"/>
      <c r="BC82" s="415"/>
      <c r="BD82" s="415"/>
      <c r="BE82" s="415"/>
      <c r="BF82" s="415"/>
      <c r="BG82" s="415"/>
      <c r="BH82" s="415"/>
      <c r="BI82" s="415"/>
      <c r="BJ82" s="415"/>
      <c r="BK82" s="415"/>
      <c r="BL82" s="415"/>
      <c r="BM82" s="415"/>
      <c r="BN82" s="415"/>
      <c r="BO82" s="415"/>
      <c r="BP82" s="415"/>
      <c r="BQ82" s="415"/>
      <c r="BR82" s="415"/>
      <c r="BS82" s="415"/>
      <c r="BT82" s="415"/>
      <c r="BU82" s="415"/>
      <c r="BV82" s="415"/>
      <c r="BW82" s="415"/>
      <c r="BX82" s="415"/>
      <c r="BY82" s="415"/>
      <c r="BZ82" s="415"/>
      <c r="CA82" s="415"/>
      <c r="CB82" s="415"/>
      <c r="CC82" s="415"/>
      <c r="CD82" s="415"/>
      <c r="CE82" s="415"/>
      <c r="CF82" s="415"/>
      <c r="CG82" s="503"/>
    </row>
    <row r="83" spans="1:85" ht="14.65" customHeight="1" x14ac:dyDescent="0.25">
      <c r="A83" s="400" t="s">
        <v>66</v>
      </c>
      <c r="B83" s="400"/>
      <c r="C83" s="397"/>
      <c r="D83" s="404" t="s">
        <v>36</v>
      </c>
      <c r="E83" s="409"/>
      <c r="F83" s="409"/>
      <c r="G83" s="393"/>
      <c r="H83" s="493" t="s">
        <v>24</v>
      </c>
      <c r="I83" s="493"/>
      <c r="J83" s="409">
        <f>ROUND(+'Ex. 1 Calcs - District'!O43,0)</f>
        <v>33333</v>
      </c>
      <c r="K83" s="409"/>
      <c r="L83" s="393"/>
      <c r="M83" s="404" t="str">
        <f>+H83</f>
        <v>Depreciation expense</v>
      </c>
      <c r="N83" s="404"/>
      <c r="O83" s="409">
        <f>+J83</f>
        <v>33333</v>
      </c>
      <c r="P83" s="409"/>
      <c r="Q83" s="393"/>
    </row>
    <row r="84" spans="1:85" ht="14.65" customHeight="1" x14ac:dyDescent="0.25">
      <c r="A84" s="485"/>
      <c r="B84" s="485"/>
      <c r="C84" s="397"/>
      <c r="D84" s="404"/>
      <c r="E84" s="409"/>
      <c r="F84" s="409"/>
      <c r="G84" s="393"/>
      <c r="H84" s="493"/>
      <c r="I84" s="493" t="s">
        <v>25</v>
      </c>
      <c r="J84" s="409"/>
      <c r="K84" s="409">
        <f>+J83</f>
        <v>33333</v>
      </c>
      <c r="L84" s="393"/>
      <c r="M84" s="397"/>
      <c r="N84" s="404" t="str">
        <f>+I84</f>
        <v>Accumulated depreciation - building</v>
      </c>
      <c r="O84" s="409"/>
      <c r="P84" s="409">
        <f>+K84</f>
        <v>33333</v>
      </c>
      <c r="Q84" s="393"/>
    </row>
    <row r="85" spans="1:85" ht="14.65" customHeight="1" x14ac:dyDescent="0.25">
      <c r="A85" s="391"/>
      <c r="B85" s="391"/>
      <c r="C85" s="404"/>
      <c r="D85" s="404"/>
      <c r="E85" s="409"/>
      <c r="F85" s="409"/>
      <c r="G85" s="393"/>
      <c r="H85" s="405" t="s">
        <v>32</v>
      </c>
      <c r="I85" s="404"/>
      <c r="J85" s="409"/>
      <c r="K85" s="409"/>
      <c r="L85" s="393"/>
      <c r="M85" s="405" t="s">
        <v>32</v>
      </c>
      <c r="N85" s="404"/>
      <c r="O85" s="409"/>
      <c r="P85" s="409"/>
      <c r="Q85" s="393"/>
    </row>
    <row r="86" spans="1:85" x14ac:dyDescent="0.25">
      <c r="A86" s="391"/>
      <c r="B86" s="391"/>
      <c r="D86" s="404"/>
      <c r="E86" s="409"/>
      <c r="F86" s="409"/>
      <c r="G86" s="393"/>
      <c r="H86" s="404"/>
      <c r="I86" s="404"/>
      <c r="J86" s="409"/>
      <c r="K86" s="409"/>
      <c r="L86" s="393"/>
      <c r="M86" s="404"/>
      <c r="N86" s="404"/>
      <c r="O86" s="409"/>
      <c r="P86" s="409"/>
      <c r="Q86" s="393"/>
    </row>
    <row r="87" spans="1:85" x14ac:dyDescent="0.25">
      <c r="A87" s="391"/>
      <c r="B87" s="391"/>
      <c r="D87" s="404"/>
      <c r="E87" s="409"/>
      <c r="F87" s="409"/>
      <c r="G87" s="393"/>
      <c r="H87" s="404"/>
      <c r="I87" s="404"/>
      <c r="J87" s="409"/>
      <c r="K87" s="409"/>
      <c r="L87" s="393"/>
      <c r="M87" s="404"/>
      <c r="N87" s="404"/>
      <c r="O87" s="409"/>
      <c r="P87" s="409"/>
      <c r="Q87" s="393"/>
    </row>
    <row r="88" spans="1:85" x14ac:dyDescent="0.25">
      <c r="A88" s="400" t="s">
        <v>67</v>
      </c>
      <c r="B88" s="400"/>
      <c r="C88" s="397"/>
      <c r="D88" s="404" t="s">
        <v>36</v>
      </c>
      <c r="E88" s="409"/>
      <c r="F88" s="409"/>
      <c r="G88" s="393"/>
      <c r="H88" s="404" t="s">
        <v>27</v>
      </c>
      <c r="I88" s="404"/>
      <c r="J88" s="409">
        <f>ROUND(+'Ex. 1 Calcs - District'!D19,0)</f>
        <v>39165</v>
      </c>
      <c r="K88" s="409"/>
      <c r="L88" s="393"/>
      <c r="M88" s="404" t="str">
        <f t="shared" ref="M88" si="15">H88</f>
        <v>Interest receivable</v>
      </c>
      <c r="N88" s="404"/>
      <c r="O88" s="388">
        <f t="shared" ref="O88" si="16">J88</f>
        <v>39165</v>
      </c>
      <c r="Q88" s="393"/>
    </row>
    <row r="89" spans="1:85" x14ac:dyDescent="0.25">
      <c r="A89" s="391"/>
      <c r="B89" s="391"/>
      <c r="C89" s="404"/>
      <c r="D89" s="404"/>
      <c r="E89" s="409"/>
      <c r="F89" s="409"/>
      <c r="G89" s="393"/>
      <c r="H89" s="405"/>
      <c r="I89" s="404" t="s">
        <v>22</v>
      </c>
      <c r="J89" s="409"/>
      <c r="K89" s="409">
        <f>+J88</f>
        <v>39165</v>
      </c>
      <c r="L89" s="393"/>
      <c r="M89" s="405"/>
      <c r="N89" s="404" t="str">
        <f t="shared" ref="N89" si="17">I89</f>
        <v>Interest income</v>
      </c>
      <c r="P89" s="388">
        <f t="shared" ref="P89" si="18">K89</f>
        <v>39165</v>
      </c>
      <c r="Q89" s="393"/>
    </row>
    <row r="90" spans="1:85" x14ac:dyDescent="0.25">
      <c r="A90" s="391"/>
      <c r="B90" s="391"/>
      <c r="C90" s="404"/>
      <c r="D90" s="404"/>
      <c r="E90" s="409"/>
      <c r="F90" s="409"/>
      <c r="G90" s="393"/>
      <c r="H90" s="405" t="s">
        <v>51</v>
      </c>
      <c r="I90" s="404"/>
      <c r="J90" s="409"/>
      <c r="K90" s="409"/>
      <c r="L90" s="393"/>
      <c r="M90" s="405" t="str">
        <f t="shared" ref="M90" si="19">H90</f>
        <v>[To accrue interest receivable on lease]</v>
      </c>
      <c r="N90" s="404"/>
      <c r="Q90" s="393"/>
    </row>
    <row r="91" spans="1:85" x14ac:dyDescent="0.25">
      <c r="A91" s="391"/>
      <c r="B91" s="391"/>
      <c r="C91" s="404"/>
      <c r="D91" s="404"/>
      <c r="E91" s="409"/>
      <c r="F91" s="409"/>
      <c r="G91" s="393"/>
      <c r="H91" s="405"/>
      <c r="I91" s="404"/>
      <c r="J91" s="409"/>
      <c r="K91" s="409"/>
      <c r="L91" s="393"/>
      <c r="M91" s="405"/>
      <c r="N91" s="404"/>
      <c r="Q91" s="393"/>
    </row>
    <row r="92" spans="1:85" x14ac:dyDescent="0.25">
      <c r="A92" s="391"/>
      <c r="B92" s="391"/>
      <c r="C92" s="404"/>
      <c r="D92" s="404"/>
      <c r="E92" s="409"/>
      <c r="F92" s="409"/>
      <c r="G92" s="393"/>
      <c r="H92" s="405"/>
      <c r="I92" s="404"/>
      <c r="J92" s="409"/>
      <c r="K92" s="409"/>
      <c r="L92" s="393"/>
      <c r="M92" s="405"/>
      <c r="N92" s="404"/>
      <c r="Q92" s="393"/>
    </row>
    <row r="93" spans="1:85" x14ac:dyDescent="0.25">
      <c r="C93" s="734" t="s">
        <v>200</v>
      </c>
      <c r="D93" s="735"/>
      <c r="E93" s="735"/>
      <c r="F93" s="736"/>
      <c r="G93" s="393"/>
      <c r="H93" s="734" t="s">
        <v>200</v>
      </c>
      <c r="I93" s="735"/>
      <c r="J93" s="735"/>
      <c r="K93" s="736"/>
      <c r="L93" s="393"/>
      <c r="M93" s="604" t="s">
        <v>200</v>
      </c>
      <c r="N93" s="605"/>
      <c r="O93" s="605"/>
      <c r="P93" s="606"/>
      <c r="Q93" s="393"/>
    </row>
    <row r="94" spans="1:85" x14ac:dyDescent="0.25">
      <c r="A94" s="391"/>
      <c r="B94" s="391"/>
      <c r="C94" s="404"/>
      <c r="D94" s="404"/>
      <c r="E94" s="409"/>
      <c r="F94" s="409"/>
      <c r="G94" s="393"/>
      <c r="H94" s="405"/>
      <c r="I94" s="404"/>
      <c r="J94" s="409"/>
      <c r="K94" s="409"/>
      <c r="L94" s="393"/>
      <c r="M94" s="405"/>
      <c r="N94" s="404"/>
      <c r="Q94" s="393"/>
    </row>
    <row r="95" spans="1:85" x14ac:dyDescent="0.25">
      <c r="A95" s="398" t="s">
        <v>201</v>
      </c>
      <c r="B95" s="422"/>
      <c r="D95" s="404"/>
      <c r="E95" s="409"/>
      <c r="F95" s="409"/>
      <c r="G95" s="393"/>
      <c r="H95" s="404"/>
      <c r="I95" s="404"/>
      <c r="J95" s="409"/>
      <c r="K95" s="409"/>
      <c r="L95" s="393"/>
      <c r="M95" s="404"/>
      <c r="N95" s="404"/>
      <c r="O95" s="409"/>
      <c r="P95" s="409"/>
      <c r="Q95" s="393"/>
    </row>
    <row r="96" spans="1:85" ht="14.65" customHeight="1" x14ac:dyDescent="0.25">
      <c r="A96" s="400">
        <v>48030</v>
      </c>
      <c r="B96" s="400"/>
      <c r="C96" s="404" t="str">
        <f>+C66</f>
        <v>Cash</v>
      </c>
      <c r="D96" s="405"/>
      <c r="E96" s="409">
        <f>+'Ex. 1 Calcs - District'!K35</f>
        <v>205000</v>
      </c>
      <c r="F96" s="409"/>
      <c r="G96" s="393"/>
      <c r="H96" s="493"/>
      <c r="I96" s="404" t="s">
        <v>36</v>
      </c>
      <c r="J96" s="409"/>
      <c r="K96" s="409"/>
      <c r="L96" s="393"/>
      <c r="M96" s="404" t="str">
        <f>+C96</f>
        <v>Cash</v>
      </c>
      <c r="N96" s="404"/>
      <c r="O96" s="409">
        <f>+E96</f>
        <v>205000</v>
      </c>
      <c r="P96" s="409"/>
      <c r="Q96" s="393"/>
    </row>
    <row r="97" spans="1:85" ht="14.65" customHeight="1" x14ac:dyDescent="0.25">
      <c r="A97" s="391"/>
      <c r="B97" s="391"/>
      <c r="D97" s="404" t="str">
        <f>+D69</f>
        <v xml:space="preserve">Unearned revenue - lease payment </v>
      </c>
      <c r="E97" s="389"/>
      <c r="F97" s="409">
        <f>ROUND(+'Ex. 1 Calcs - District'!L35,0)</f>
        <v>205000</v>
      </c>
      <c r="G97" s="393"/>
      <c r="H97" s="493"/>
      <c r="I97" s="493"/>
      <c r="J97" s="409"/>
      <c r="K97" s="409"/>
      <c r="L97" s="393"/>
      <c r="M97" s="397"/>
      <c r="N97" s="404" t="str">
        <f>+D97</f>
        <v xml:space="preserve">Unearned revenue - lease payment </v>
      </c>
      <c r="O97" s="409"/>
      <c r="P97" s="409">
        <f>+F97</f>
        <v>205000</v>
      </c>
      <c r="Q97" s="393"/>
    </row>
    <row r="98" spans="1:85" ht="14.65" customHeight="1" x14ac:dyDescent="0.25">
      <c r="A98" s="391"/>
      <c r="B98" s="391"/>
      <c r="C98" s="405" t="s">
        <v>820</v>
      </c>
      <c r="E98" s="389"/>
      <c r="F98" s="389"/>
      <c r="G98" s="393"/>
      <c r="H98" s="484"/>
      <c r="I98" s="493"/>
      <c r="J98" s="409"/>
      <c r="K98" s="409"/>
      <c r="L98" s="393"/>
      <c r="M98" s="405" t="str">
        <f>C98</f>
        <v xml:space="preserve">[To record receipt of annual installment payment from </v>
      </c>
      <c r="O98" s="389"/>
      <c r="P98" s="402"/>
      <c r="Q98" s="393"/>
    </row>
    <row r="99" spans="1:85" ht="14.65" customHeight="1" x14ac:dyDescent="0.25">
      <c r="A99" s="391"/>
      <c r="B99" s="391"/>
      <c r="C99" s="405" t="s">
        <v>198</v>
      </c>
      <c r="D99" s="404"/>
      <c r="E99" s="409"/>
      <c r="F99" s="409"/>
      <c r="G99" s="393"/>
      <c r="H99" s="493"/>
      <c r="I99" s="493"/>
      <c r="J99" s="409"/>
      <c r="K99" s="409"/>
      <c r="L99" s="393"/>
      <c r="M99" s="406" t="str">
        <f>C99</f>
        <v>lessee based on actual CY 2030 CPPI]</v>
      </c>
      <c r="O99" s="389"/>
      <c r="P99" s="402"/>
      <c r="Q99" s="393"/>
    </row>
    <row r="100" spans="1:85" ht="14.25" customHeight="1" x14ac:dyDescent="0.25">
      <c r="A100" s="391"/>
      <c r="B100" s="391"/>
      <c r="C100" s="404"/>
      <c r="D100" s="404"/>
      <c r="E100" s="409"/>
      <c r="F100" s="409"/>
      <c r="G100" s="393"/>
      <c r="H100" s="404"/>
      <c r="I100" s="404"/>
      <c r="J100" s="409"/>
      <c r="K100" s="409"/>
      <c r="L100" s="393"/>
      <c r="N100" s="404"/>
      <c r="O100" s="409"/>
      <c r="P100" s="409"/>
      <c r="Q100" s="393"/>
    </row>
    <row r="101" spans="1:85" ht="14.65" customHeight="1" x14ac:dyDescent="0.25">
      <c r="A101" s="391"/>
      <c r="B101" s="391"/>
      <c r="C101" s="397"/>
      <c r="D101" s="404"/>
      <c r="E101" s="409"/>
      <c r="F101" s="409"/>
      <c r="G101" s="393"/>
      <c r="H101" s="404"/>
      <c r="I101" s="404"/>
      <c r="J101" s="409"/>
      <c r="K101" s="409"/>
      <c r="L101" s="393"/>
      <c r="M101" s="397"/>
      <c r="N101" s="404"/>
      <c r="O101" s="409"/>
      <c r="P101" s="409"/>
      <c r="Q101" s="393"/>
    </row>
    <row r="102" spans="1:85" ht="14.65" customHeight="1" x14ac:dyDescent="0.25">
      <c r="A102" s="400" t="s">
        <v>196</v>
      </c>
      <c r="B102" s="400"/>
      <c r="C102" s="493" t="str">
        <f>+C75</f>
        <v>Deferred inflow of resources</v>
      </c>
      <c r="D102" s="484"/>
      <c r="E102" s="409">
        <f>ROUND(+'Ex. 1 Calcs - District'!R35,0)</f>
        <v>120000</v>
      </c>
      <c r="F102" s="409"/>
      <c r="G102" s="393"/>
      <c r="H102" s="493"/>
      <c r="I102" s="404" t="s">
        <v>36</v>
      </c>
      <c r="J102" s="409"/>
      <c r="K102" s="409"/>
      <c r="L102" s="393"/>
      <c r="M102" s="404" t="str">
        <f>+C102</f>
        <v>Deferred inflow of resources</v>
      </c>
      <c r="N102" s="404"/>
      <c r="O102" s="409">
        <f>+E102+J102</f>
        <v>120000</v>
      </c>
      <c r="P102" s="409"/>
      <c r="Q102" s="393"/>
    </row>
    <row r="103" spans="1:85" ht="14.65" customHeight="1" x14ac:dyDescent="0.25">
      <c r="A103" s="400"/>
      <c r="B103" s="400"/>
      <c r="C103" s="493" t="str">
        <f>+D97</f>
        <v xml:space="preserve">Unearned revenue - lease payment </v>
      </c>
      <c r="D103" s="484"/>
      <c r="E103" s="409">
        <f>+F97</f>
        <v>205000</v>
      </c>
      <c r="F103" s="409"/>
      <c r="G103" s="393"/>
      <c r="H103" s="493"/>
      <c r="I103" s="404"/>
      <c r="J103" s="409"/>
      <c r="K103" s="409"/>
      <c r="L103" s="393"/>
      <c r="M103" s="404" t="str">
        <f>+C103</f>
        <v xml:space="preserve">Unearned revenue - lease payment </v>
      </c>
      <c r="N103" s="404"/>
      <c r="O103" s="409">
        <f>+E103+J103</f>
        <v>205000</v>
      </c>
      <c r="P103" s="409"/>
      <c r="Q103" s="393"/>
    </row>
    <row r="104" spans="1:85" ht="14.65" customHeight="1" x14ac:dyDescent="0.25">
      <c r="A104" s="391"/>
      <c r="B104" s="391"/>
      <c r="C104" s="397"/>
      <c r="D104" s="404" t="str">
        <f>+D77</f>
        <v>Lease revenue</v>
      </c>
      <c r="E104" s="409"/>
      <c r="F104" s="409">
        <f>+E102+E103</f>
        <v>325000</v>
      </c>
      <c r="G104" s="393"/>
      <c r="H104" s="397"/>
      <c r="I104" s="404"/>
      <c r="J104" s="493"/>
      <c r="K104" s="603"/>
      <c r="L104" s="393"/>
      <c r="M104" s="397"/>
      <c r="N104" s="404" t="str">
        <f>+D104</f>
        <v>Lease revenue</v>
      </c>
      <c r="O104" s="409"/>
      <c r="P104" s="409">
        <f>+F104+K104</f>
        <v>325000</v>
      </c>
      <c r="Q104" s="393"/>
    </row>
    <row r="105" spans="1:85" ht="14.65" customHeight="1" x14ac:dyDescent="0.25">
      <c r="A105" s="391"/>
      <c r="B105" s="391"/>
      <c r="C105" s="405" t="s">
        <v>23</v>
      </c>
      <c r="D105" s="404"/>
      <c r="E105" s="409"/>
      <c r="F105" s="409"/>
      <c r="G105" s="393"/>
      <c r="H105" s="405"/>
      <c r="I105" s="404"/>
      <c r="J105" s="409"/>
      <c r="K105" s="409"/>
      <c r="L105" s="393"/>
      <c r="M105" s="405" t="str">
        <f t="shared" ref="M105:M107" si="20">C105</f>
        <v>[To record amortization of deferred inflow of resources</v>
      </c>
      <c r="N105" s="404"/>
      <c r="O105" s="409"/>
      <c r="P105" s="409"/>
      <c r="Q105" s="393"/>
    </row>
    <row r="106" spans="1:85" ht="14.65" customHeight="1" x14ac:dyDescent="0.25">
      <c r="A106" s="391"/>
      <c r="B106" s="391"/>
      <c r="C106" s="405" t="s">
        <v>819</v>
      </c>
      <c r="D106" s="404"/>
      <c r="E106" s="409"/>
      <c r="F106" s="409"/>
      <c r="G106" s="393"/>
      <c r="H106" s="405"/>
      <c r="I106" s="404"/>
      <c r="J106" s="409"/>
      <c r="L106" s="393"/>
      <c r="M106" s="405" t="str">
        <f t="shared" si="20"/>
        <v xml:space="preserve">associated with installment and prepayments and </v>
      </c>
      <c r="N106" s="404"/>
      <c r="O106" s="409"/>
      <c r="P106" s="409"/>
      <c r="Q106" s="393"/>
    </row>
    <row r="107" spans="1:85" ht="14.65" customHeight="1" x14ac:dyDescent="0.25">
      <c r="A107" s="502"/>
      <c r="B107" s="502"/>
      <c r="C107" s="405" t="s">
        <v>162</v>
      </c>
      <c r="D107" s="404"/>
      <c r="E107" s="409"/>
      <c r="F107" s="409"/>
      <c r="G107" s="393"/>
      <c r="H107" s="404"/>
      <c r="I107" s="404"/>
      <c r="J107" s="404"/>
      <c r="K107" s="409"/>
      <c r="L107" s="393"/>
      <c r="M107" s="405" t="str">
        <f t="shared" si="20"/>
        <v>recognize lease revenue for year]</v>
      </c>
      <c r="N107" s="493"/>
      <c r="O107" s="409"/>
      <c r="P107" s="409"/>
      <c r="Q107" s="393"/>
    </row>
    <row r="108" spans="1:85" ht="14.65" customHeight="1" x14ac:dyDescent="0.25">
      <c r="A108" s="502"/>
      <c r="B108" s="502"/>
      <c r="C108" s="405"/>
      <c r="D108" s="404"/>
      <c r="E108" s="409"/>
      <c r="F108" s="409"/>
      <c r="G108" s="393"/>
      <c r="H108" s="404"/>
      <c r="I108" s="404"/>
      <c r="J108" s="404"/>
      <c r="K108" s="409"/>
      <c r="L108" s="393"/>
      <c r="M108" s="405"/>
      <c r="N108" s="493"/>
      <c r="O108" s="409"/>
      <c r="P108" s="409"/>
      <c r="Q108" s="393"/>
    </row>
    <row r="109" spans="1:85" ht="14.65" customHeight="1" x14ac:dyDescent="0.25">
      <c r="A109" s="391"/>
      <c r="B109" s="391"/>
      <c r="C109" s="405"/>
      <c r="D109" s="405"/>
      <c r="E109" s="500"/>
      <c r="F109" s="409"/>
      <c r="G109" s="393"/>
      <c r="H109" s="404"/>
      <c r="I109" s="404"/>
      <c r="J109" s="404"/>
      <c r="K109" s="409"/>
      <c r="L109" s="393"/>
      <c r="M109" s="484"/>
      <c r="N109" s="404"/>
      <c r="O109" s="409"/>
      <c r="P109" s="409"/>
      <c r="Q109" s="393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5"/>
      <c r="AC109" s="415"/>
      <c r="AD109" s="415"/>
      <c r="AE109" s="415"/>
      <c r="AF109" s="415"/>
      <c r="AG109" s="415"/>
      <c r="AH109" s="415"/>
      <c r="AI109" s="415"/>
      <c r="AJ109" s="415"/>
      <c r="AK109" s="415"/>
      <c r="AL109" s="415"/>
      <c r="AM109" s="415"/>
      <c r="AN109" s="415"/>
      <c r="AO109" s="415"/>
      <c r="AP109" s="415"/>
      <c r="AQ109" s="415"/>
      <c r="AR109" s="415"/>
      <c r="AS109" s="415"/>
      <c r="AT109" s="415"/>
      <c r="AU109" s="415"/>
      <c r="AV109" s="415"/>
      <c r="AW109" s="415"/>
      <c r="AX109" s="415"/>
      <c r="AY109" s="415"/>
      <c r="AZ109" s="415"/>
      <c r="BA109" s="415"/>
      <c r="BB109" s="415"/>
      <c r="BC109" s="415"/>
      <c r="BD109" s="415"/>
      <c r="BE109" s="415"/>
      <c r="BF109" s="415"/>
      <c r="BG109" s="415"/>
      <c r="BH109" s="415"/>
      <c r="BI109" s="415"/>
      <c r="BJ109" s="415"/>
      <c r="BK109" s="415"/>
      <c r="BL109" s="415"/>
      <c r="BM109" s="415"/>
      <c r="BN109" s="415"/>
      <c r="BO109" s="415"/>
      <c r="BP109" s="415"/>
      <c r="BQ109" s="415"/>
      <c r="BR109" s="415"/>
      <c r="BS109" s="415"/>
      <c r="BT109" s="415"/>
      <c r="BU109" s="415"/>
      <c r="BV109" s="415"/>
      <c r="BW109" s="415"/>
      <c r="BX109" s="415"/>
      <c r="BY109" s="415"/>
      <c r="BZ109" s="415"/>
      <c r="CA109" s="415"/>
      <c r="CB109" s="415"/>
      <c r="CC109" s="415"/>
      <c r="CD109" s="415"/>
      <c r="CE109" s="415"/>
      <c r="CF109" s="415"/>
      <c r="CG109" s="503"/>
    </row>
    <row r="110" spans="1:85" ht="14.65" customHeight="1" x14ac:dyDescent="0.25">
      <c r="A110" s="400" t="s">
        <v>197</v>
      </c>
      <c r="B110" s="400"/>
      <c r="C110" s="397"/>
      <c r="D110" s="404" t="s">
        <v>36</v>
      </c>
      <c r="E110" s="409"/>
      <c r="F110" s="409"/>
      <c r="G110" s="393"/>
      <c r="H110" s="493" t="s">
        <v>24</v>
      </c>
      <c r="I110" s="493"/>
      <c r="J110" s="409">
        <f>+'Ex. 1 Calcs - District'!O34</f>
        <v>33333.333333333336</v>
      </c>
      <c r="K110" s="409"/>
      <c r="L110" s="393"/>
      <c r="M110" s="404" t="str">
        <f>+H110</f>
        <v>Depreciation expense</v>
      </c>
      <c r="N110" s="404"/>
      <c r="O110" s="409">
        <f>+J110</f>
        <v>33333.333333333336</v>
      </c>
      <c r="P110" s="409"/>
      <c r="Q110" s="393"/>
    </row>
    <row r="111" spans="1:85" ht="14.65" customHeight="1" x14ac:dyDescent="0.25">
      <c r="A111" s="485"/>
      <c r="B111" s="485"/>
      <c r="C111" s="397"/>
      <c r="D111" s="404"/>
      <c r="E111" s="409"/>
      <c r="F111" s="409"/>
      <c r="G111" s="393"/>
      <c r="H111" s="493"/>
      <c r="I111" s="493" t="s">
        <v>25</v>
      </c>
      <c r="J111" s="409"/>
      <c r="K111" s="409">
        <f>+J110</f>
        <v>33333.333333333336</v>
      </c>
      <c r="L111" s="393"/>
      <c r="M111" s="397"/>
      <c r="N111" s="404" t="str">
        <f>+I111</f>
        <v>Accumulated depreciation - building</v>
      </c>
      <c r="O111" s="409"/>
      <c r="P111" s="409">
        <f>+K111</f>
        <v>33333.333333333336</v>
      </c>
      <c r="Q111" s="393"/>
    </row>
    <row r="112" spans="1:85" ht="14.65" customHeight="1" x14ac:dyDescent="0.25">
      <c r="A112" s="391"/>
      <c r="B112" s="391"/>
      <c r="C112" s="404"/>
      <c r="D112" s="404"/>
      <c r="E112" s="409"/>
      <c r="F112" s="409"/>
      <c r="G112" s="393"/>
      <c r="H112" s="405" t="s">
        <v>32</v>
      </c>
      <c r="I112" s="404"/>
      <c r="J112" s="409"/>
      <c r="K112" s="409"/>
      <c r="L112" s="393"/>
      <c r="M112" s="405" t="s">
        <v>32</v>
      </c>
      <c r="N112" s="404"/>
      <c r="O112" s="409"/>
      <c r="P112" s="409"/>
      <c r="Q112" s="393"/>
    </row>
    <row r="113" spans="1:17" x14ac:dyDescent="0.25">
      <c r="A113" s="391"/>
      <c r="B113" s="391"/>
      <c r="D113" s="404"/>
      <c r="E113" s="409"/>
      <c r="F113" s="409"/>
      <c r="G113" s="393"/>
      <c r="H113" s="404"/>
      <c r="I113" s="404"/>
      <c r="J113" s="409"/>
      <c r="K113" s="409"/>
      <c r="L113" s="393"/>
      <c r="M113" s="404"/>
      <c r="N113" s="404"/>
      <c r="O113" s="409"/>
      <c r="P113" s="409"/>
      <c r="Q113" s="393"/>
    </row>
    <row r="114" spans="1:17" x14ac:dyDescent="0.25">
      <c r="A114" s="391"/>
      <c r="B114" s="391"/>
      <c r="D114" s="404"/>
      <c r="E114" s="409"/>
      <c r="F114" s="409"/>
      <c r="G114" s="393"/>
      <c r="H114" s="404"/>
      <c r="I114" s="404"/>
      <c r="J114" s="409"/>
      <c r="K114" s="409"/>
      <c r="L114" s="393"/>
      <c r="M114" s="404"/>
      <c r="N114" s="404"/>
      <c r="O114" s="409"/>
      <c r="P114" s="409"/>
      <c r="Q114" s="393"/>
    </row>
    <row r="115" spans="1:17" x14ac:dyDescent="0.25">
      <c r="A115" s="391"/>
      <c r="B115" s="391"/>
      <c r="C115" s="404"/>
      <c r="D115" s="404"/>
      <c r="E115" s="409"/>
      <c r="F115" s="409"/>
      <c r="G115" s="393"/>
      <c r="H115" s="405"/>
      <c r="I115" s="404"/>
      <c r="J115" s="409"/>
      <c r="K115" s="409"/>
      <c r="L115" s="393"/>
      <c r="M115" s="405"/>
      <c r="N115" s="404"/>
      <c r="Q115" s="393"/>
    </row>
    <row r="116" spans="1:17" x14ac:dyDescent="0.25">
      <c r="A116" s="391"/>
      <c r="B116" s="391"/>
      <c r="C116" s="404"/>
      <c r="D116" s="404"/>
      <c r="E116" s="409"/>
      <c r="F116" s="409"/>
      <c r="G116" s="393"/>
      <c r="H116" s="405"/>
      <c r="I116" s="404"/>
      <c r="J116" s="409"/>
      <c r="K116" s="409"/>
      <c r="L116" s="393"/>
      <c r="M116" s="405"/>
      <c r="N116" s="404"/>
      <c r="Q116" s="393"/>
    </row>
    <row r="117" spans="1:17" x14ac:dyDescent="0.25">
      <c r="A117" s="391"/>
      <c r="B117" s="391"/>
      <c r="C117" s="404"/>
      <c r="D117" s="404"/>
      <c r="E117" s="409"/>
      <c r="F117" s="409"/>
      <c r="G117" s="393"/>
      <c r="H117" s="405"/>
      <c r="I117" s="404"/>
      <c r="J117" s="409"/>
      <c r="K117" s="409"/>
      <c r="L117" s="393"/>
      <c r="M117" s="405"/>
      <c r="N117" s="404"/>
      <c r="Q117" s="393"/>
    </row>
    <row r="118" spans="1:17" x14ac:dyDescent="0.25">
      <c r="C118" s="393"/>
      <c r="D118" s="393"/>
      <c r="E118" s="505">
        <f>SUM(E6:E117)-SUM(F6:F117)</f>
        <v>0</v>
      </c>
      <c r="F118" s="392"/>
      <c r="G118" s="393"/>
      <c r="H118" s="393"/>
      <c r="I118" s="393"/>
      <c r="J118" s="505">
        <f>SUM(J6:J117)-SUM(K6:K117)</f>
        <v>0</v>
      </c>
      <c r="K118" s="409"/>
      <c r="L118" s="393"/>
      <c r="M118" s="393"/>
      <c r="N118" s="393"/>
      <c r="O118" s="505">
        <f>SUM(O6:O117)-SUM(P6:P117)</f>
        <v>0</v>
      </c>
      <c r="P118" s="392"/>
      <c r="Q118" s="393"/>
    </row>
    <row r="119" spans="1:17" x14ac:dyDescent="0.25">
      <c r="C119" s="393"/>
      <c r="D119" s="393"/>
      <c r="E119" s="392"/>
      <c r="F119" s="392"/>
      <c r="G119" s="393"/>
      <c r="H119" s="393"/>
      <c r="I119" s="393"/>
      <c r="J119" s="392"/>
      <c r="K119" s="392"/>
      <c r="L119" s="393"/>
      <c r="M119" s="393"/>
      <c r="N119" s="393"/>
      <c r="O119" s="392"/>
      <c r="P119" s="392"/>
      <c r="Q119" s="393"/>
    </row>
    <row r="121" spans="1:17" x14ac:dyDescent="0.25">
      <c r="C121" s="393"/>
      <c r="D121" s="393"/>
      <c r="E121" s="392"/>
      <c r="F121" s="392"/>
      <c r="G121" s="393"/>
      <c r="H121" s="393"/>
      <c r="I121" s="393"/>
      <c r="J121" s="392"/>
      <c r="K121" s="392"/>
      <c r="L121" s="393"/>
      <c r="M121" s="393"/>
      <c r="N121" s="393"/>
      <c r="O121" s="392"/>
      <c r="P121" s="392"/>
      <c r="Q121" s="393"/>
    </row>
    <row r="122" spans="1:17" x14ac:dyDescent="0.25">
      <c r="C122" s="393"/>
      <c r="D122" s="393"/>
      <c r="E122" s="392"/>
      <c r="F122" s="392"/>
      <c r="G122" s="393"/>
      <c r="H122" s="393"/>
      <c r="I122" s="393"/>
      <c r="J122" s="392"/>
      <c r="K122" s="392"/>
      <c r="L122" s="393"/>
      <c r="M122" s="393"/>
      <c r="N122" s="393"/>
      <c r="O122" s="392"/>
      <c r="P122" s="392"/>
      <c r="Q122" s="393"/>
    </row>
    <row r="123" spans="1:17" x14ac:dyDescent="0.25">
      <c r="C123" s="393"/>
      <c r="D123" s="393"/>
      <c r="E123" s="392"/>
      <c r="F123" s="392"/>
      <c r="G123" s="393"/>
      <c r="H123" s="393"/>
      <c r="I123" s="393"/>
      <c r="J123" s="392"/>
      <c r="K123" s="392"/>
      <c r="L123" s="393"/>
      <c r="M123" s="393"/>
      <c r="N123" s="393"/>
      <c r="O123" s="392"/>
      <c r="P123" s="392"/>
      <c r="Q123" s="393"/>
    </row>
    <row r="124" spans="1:17" x14ac:dyDescent="0.25">
      <c r="C124" s="393"/>
      <c r="D124" s="393"/>
      <c r="E124" s="392"/>
      <c r="F124" s="392"/>
      <c r="G124" s="393"/>
      <c r="H124" s="393"/>
      <c r="I124" s="393"/>
      <c r="J124" s="392"/>
      <c r="K124" s="392"/>
      <c r="L124" s="393"/>
      <c r="M124" s="393"/>
      <c r="N124" s="393"/>
      <c r="O124" s="392"/>
      <c r="P124" s="392"/>
      <c r="Q124" s="393"/>
    </row>
    <row r="125" spans="1:17" x14ac:dyDescent="0.25">
      <c r="C125" s="393"/>
      <c r="D125" s="393"/>
      <c r="E125" s="392"/>
      <c r="F125" s="392"/>
      <c r="G125" s="393"/>
      <c r="H125" s="393"/>
      <c r="I125" s="393"/>
      <c r="J125" s="392"/>
      <c r="K125" s="392"/>
      <c r="L125" s="393"/>
      <c r="M125" s="393"/>
      <c r="N125" s="393"/>
      <c r="O125" s="392"/>
      <c r="P125" s="392"/>
      <c r="Q125" s="393"/>
    </row>
    <row r="126" spans="1:17" x14ac:dyDescent="0.25">
      <c r="C126" s="393"/>
      <c r="D126" s="393"/>
      <c r="E126" s="392"/>
      <c r="F126" s="392"/>
      <c r="G126" s="393"/>
      <c r="H126" s="393"/>
      <c r="I126" s="393"/>
      <c r="J126" s="392"/>
      <c r="K126" s="392"/>
      <c r="L126" s="393"/>
      <c r="M126" s="393"/>
      <c r="N126" s="393"/>
      <c r="O126" s="392"/>
      <c r="P126" s="392"/>
      <c r="Q126" s="393"/>
    </row>
    <row r="127" spans="1:17" x14ac:dyDescent="0.25">
      <c r="C127" s="393"/>
      <c r="D127" s="393"/>
      <c r="E127" s="392"/>
      <c r="F127" s="392"/>
      <c r="G127" s="393"/>
      <c r="H127" s="393"/>
      <c r="I127" s="393"/>
      <c r="J127" s="392"/>
      <c r="K127" s="392"/>
      <c r="L127" s="393"/>
      <c r="M127" s="393"/>
      <c r="N127" s="393"/>
      <c r="O127" s="392"/>
      <c r="P127" s="392"/>
      <c r="Q127" s="393"/>
    </row>
    <row r="128" spans="1:17" x14ac:dyDescent="0.25">
      <c r="C128" s="393"/>
      <c r="D128" s="393"/>
      <c r="E128" s="392"/>
      <c r="F128" s="392"/>
      <c r="G128" s="393"/>
      <c r="H128" s="393"/>
      <c r="I128" s="393"/>
      <c r="J128" s="392"/>
      <c r="K128" s="392"/>
      <c r="L128" s="393"/>
      <c r="M128" s="393"/>
      <c r="N128" s="393"/>
      <c r="O128" s="392"/>
      <c r="P128" s="392"/>
      <c r="Q128" s="393"/>
    </row>
  </sheetData>
  <mergeCells count="6">
    <mergeCell ref="A1:P1"/>
    <mergeCell ref="C93:F93"/>
    <mergeCell ref="H93:K93"/>
    <mergeCell ref="C4:F4"/>
    <mergeCell ref="H4:K4"/>
    <mergeCell ref="M4:P4"/>
  </mergeCells>
  <pageMargins left="0.7" right="0.7" top="0.75" bottom="0.75" header="0.3" footer="0.3"/>
  <pageSetup paperSize="5" scale="50" orientation="landscape" horizontalDpi="4294967295" verticalDpi="4294967295" r:id="rId1"/>
  <colBreaks count="2" manualBreakCount="2">
    <brk id="7" max="1048575" man="1"/>
    <brk id="12" max="1048575" man="1"/>
  </colBreaks>
  <ignoredErrors>
    <ignoredError sqref="N39 P39 N68 P6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workbookViewId="0"/>
  </sheetViews>
  <sheetFormatPr defaultColWidth="9" defaultRowHeight="15.75" x14ac:dyDescent="0.25"/>
  <cols>
    <col min="1" max="1" width="5" style="429" customWidth="1"/>
    <col min="2" max="2" width="13.85546875" style="436" customWidth="1"/>
    <col min="3" max="3" width="12.85546875" style="437" customWidth="1"/>
    <col min="4" max="4" width="8.7109375" style="437" customWidth="1"/>
    <col min="5" max="5" width="14" style="437" customWidth="1"/>
    <col min="6" max="6" width="17.42578125" style="437" customWidth="1"/>
    <col min="7" max="7" width="13" style="429" customWidth="1"/>
    <col min="8" max="8" width="13.5703125" style="429" customWidth="1"/>
    <col min="9" max="9" width="14.28515625" style="429" customWidth="1"/>
    <col min="10" max="10" width="10" style="429" customWidth="1"/>
    <col min="11" max="11" width="11.5703125" style="429" customWidth="1"/>
    <col min="12" max="12" width="15.28515625" style="429" customWidth="1"/>
    <col min="13" max="13" width="8" style="429" customWidth="1"/>
    <col min="14" max="14" width="15" style="429" customWidth="1"/>
    <col min="15" max="15" width="15.42578125" style="429" customWidth="1"/>
    <col min="16" max="16" width="15.5703125" style="429" customWidth="1"/>
    <col min="17" max="17" width="12.140625" style="429" customWidth="1"/>
    <col min="18" max="16384" width="9" style="429"/>
  </cols>
  <sheetData>
    <row r="1" spans="1:17" x14ac:dyDescent="0.25">
      <c r="A1" s="542" t="s">
        <v>728</v>
      </c>
      <c r="E1" s="390"/>
      <c r="J1" s="436"/>
      <c r="K1" s="436"/>
      <c r="L1" s="436"/>
      <c r="M1" s="436"/>
      <c r="N1" s="436"/>
      <c r="O1" s="607"/>
      <c r="P1" s="436"/>
      <c r="Q1" s="608"/>
    </row>
    <row r="2" spans="1:17" x14ac:dyDescent="0.25">
      <c r="J2" s="436"/>
      <c r="K2" s="436"/>
      <c r="L2" s="436"/>
      <c r="M2" s="436"/>
      <c r="N2" s="436"/>
      <c r="O2" s="607"/>
      <c r="P2" s="608"/>
      <c r="Q2" s="608"/>
    </row>
    <row r="3" spans="1:17" s="386" customFormat="1" ht="14.25" customHeight="1" x14ac:dyDescent="0.25">
      <c r="B3" s="740" t="s">
        <v>151</v>
      </c>
      <c r="C3" s="740"/>
      <c r="D3" s="740"/>
      <c r="E3" s="740"/>
      <c r="F3" s="609"/>
      <c r="G3" s="740" t="s">
        <v>152</v>
      </c>
      <c r="H3" s="740"/>
      <c r="J3" s="506"/>
      <c r="K3" s="506"/>
      <c r="L3" s="506"/>
      <c r="M3" s="506"/>
      <c r="N3" s="506"/>
      <c r="O3" s="610"/>
      <c r="P3" s="611"/>
      <c r="Q3" s="611"/>
    </row>
    <row r="4" spans="1:17" x14ac:dyDescent="0.25">
      <c r="B4" s="612">
        <f>+'Example 1 Assumptions Summary '!F7</f>
        <v>120000</v>
      </c>
      <c r="C4" s="437" t="s">
        <v>57</v>
      </c>
      <c r="G4" s="486">
        <f>+B6</f>
        <v>1799044</v>
      </c>
      <c r="H4" s="429" t="s">
        <v>71</v>
      </c>
      <c r="J4" s="441"/>
      <c r="K4" s="441"/>
      <c r="L4" s="441"/>
      <c r="M4" s="436"/>
      <c r="N4" s="441"/>
      <c r="O4" s="607"/>
      <c r="P4" s="608"/>
      <c r="Q4" s="608"/>
    </row>
    <row r="5" spans="1:17" x14ac:dyDescent="0.25">
      <c r="B5" s="613">
        <f>+'Example 1 Assumptions Summary '!F9</f>
        <v>0.02</v>
      </c>
      <c r="C5" s="437" t="s">
        <v>108</v>
      </c>
      <c r="G5" s="444">
        <f>+'Example 1 Assumptions Summary '!F7*2</f>
        <v>240000</v>
      </c>
      <c r="H5" s="429" t="s">
        <v>31</v>
      </c>
      <c r="J5" s="614"/>
      <c r="K5" s="441"/>
      <c r="L5" s="436"/>
      <c r="M5" s="612"/>
      <c r="N5" s="612"/>
      <c r="O5" s="612"/>
      <c r="P5" s="608"/>
      <c r="Q5" s="608"/>
    </row>
    <row r="6" spans="1:17" ht="16.5" thickBot="1" x14ac:dyDescent="0.3">
      <c r="B6" s="615">
        <f>ROUND(-PV(B5,18,B4),0)</f>
        <v>1799044</v>
      </c>
      <c r="C6" s="616" t="s">
        <v>635</v>
      </c>
      <c r="E6" s="444"/>
      <c r="G6" s="617">
        <f>ROUND(SUM(G4:G5),0)</f>
        <v>2039044</v>
      </c>
      <c r="H6" s="429" t="s">
        <v>55</v>
      </c>
      <c r="J6" s="614"/>
      <c r="K6" s="613"/>
      <c r="L6" s="698"/>
      <c r="M6" s="612"/>
      <c r="N6" s="612"/>
      <c r="O6" s="612"/>
      <c r="P6" s="608"/>
      <c r="Q6" s="608"/>
    </row>
    <row r="7" spans="1:17" ht="16.5" thickTop="1" x14ac:dyDescent="0.25">
      <c r="F7" s="444"/>
      <c r="H7" s="436"/>
      <c r="I7" s="436"/>
      <c r="J7" s="614"/>
      <c r="K7" s="613"/>
      <c r="L7" s="436"/>
      <c r="M7" s="612"/>
      <c r="N7" s="612"/>
      <c r="O7" s="612"/>
      <c r="P7" s="608"/>
      <c r="Q7" s="608"/>
    </row>
    <row r="8" spans="1:17" x14ac:dyDescent="0.25">
      <c r="B8" s="613"/>
      <c r="E8" s="444"/>
      <c r="F8" s="444"/>
      <c r="G8" s="551"/>
      <c r="J8" s="436"/>
      <c r="K8" s="436"/>
      <c r="L8" s="436"/>
    </row>
    <row r="9" spans="1:17" x14ac:dyDescent="0.25">
      <c r="B9" s="613"/>
      <c r="E9" s="444"/>
      <c r="F9" s="444"/>
      <c r="G9" s="551"/>
      <c r="J9" s="436"/>
      <c r="K9" s="436"/>
      <c r="L9" s="436"/>
    </row>
    <row r="10" spans="1:17" x14ac:dyDescent="0.25">
      <c r="B10" s="613"/>
      <c r="E10" s="444"/>
      <c r="F10" s="444"/>
      <c r="G10" s="551"/>
      <c r="J10" s="436"/>
      <c r="K10" s="436"/>
      <c r="L10" s="436"/>
    </row>
    <row r="11" spans="1:17" s="557" customFormat="1" x14ac:dyDescent="0.25">
      <c r="B11" s="558"/>
      <c r="C11" s="450">
        <f>SUM(C16:C35)-C15</f>
        <v>0</v>
      </c>
      <c r="D11" s="450"/>
      <c r="E11" s="450"/>
      <c r="F11" s="450"/>
      <c r="O11" s="512">
        <f>ROUND(SUM(O16:O35)-G6,0)</f>
        <v>0</v>
      </c>
      <c r="P11" s="455"/>
    </row>
    <row r="12" spans="1:17" x14ac:dyDescent="0.25">
      <c r="B12" s="725" t="s">
        <v>860</v>
      </c>
      <c r="C12" s="726"/>
      <c r="D12" s="726"/>
      <c r="E12" s="726"/>
      <c r="F12" s="727"/>
      <c r="G12" s="730" t="s">
        <v>648</v>
      </c>
      <c r="H12" s="730"/>
      <c r="I12" s="730"/>
      <c r="J12" s="730"/>
      <c r="K12" s="730"/>
      <c r="L12" s="730"/>
      <c r="N12" s="725" t="s">
        <v>70</v>
      </c>
      <c r="O12" s="726"/>
      <c r="P12" s="727"/>
    </row>
    <row r="13" spans="1:17" s="423" customFormat="1" ht="58.5" customHeight="1" x14ac:dyDescent="0.25">
      <c r="B13" s="728" t="s">
        <v>7</v>
      </c>
      <c r="C13" s="728" t="s">
        <v>6</v>
      </c>
      <c r="D13" s="560" t="s">
        <v>8</v>
      </c>
      <c r="E13" s="728" t="s">
        <v>4</v>
      </c>
      <c r="F13" s="728" t="s">
        <v>5</v>
      </c>
      <c r="G13" s="728" t="s">
        <v>737</v>
      </c>
      <c r="H13" s="728" t="s">
        <v>739</v>
      </c>
      <c r="I13" s="729" t="s">
        <v>715</v>
      </c>
      <c r="J13" s="729" t="s">
        <v>179</v>
      </c>
      <c r="K13" s="729" t="s">
        <v>180</v>
      </c>
      <c r="L13" s="729" t="s">
        <v>181</v>
      </c>
      <c r="N13" s="618"/>
      <c r="O13" s="619" t="s">
        <v>76</v>
      </c>
      <c r="P13" s="619" t="s">
        <v>631</v>
      </c>
    </row>
    <row r="14" spans="1:17" s="423" customFormat="1" ht="18" customHeight="1" thickBot="1" x14ac:dyDescent="0.3">
      <c r="B14" s="728"/>
      <c r="C14" s="729"/>
      <c r="D14" s="564">
        <f>+B5</f>
        <v>0.02</v>
      </c>
      <c r="E14" s="728"/>
      <c r="F14" s="728"/>
      <c r="G14" s="728"/>
      <c r="H14" s="728"/>
      <c r="I14" s="731"/>
      <c r="J14" s="731"/>
      <c r="K14" s="731"/>
      <c r="L14" s="731"/>
      <c r="N14" s="561" t="s">
        <v>18</v>
      </c>
      <c r="O14" s="565">
        <f>+G6</f>
        <v>2039044</v>
      </c>
      <c r="P14" s="565"/>
    </row>
    <row r="15" spans="1:17" ht="16.5" thickBot="1" x14ac:dyDescent="0.3">
      <c r="B15" s="571"/>
      <c r="C15" s="568">
        <f>SUM(C16:C35)</f>
        <v>2400000</v>
      </c>
      <c r="D15" s="569"/>
      <c r="F15" s="570"/>
      <c r="G15" s="571"/>
      <c r="H15" s="571"/>
      <c r="I15" s="571"/>
      <c r="J15" s="571"/>
      <c r="K15" s="571"/>
      <c r="L15" s="571"/>
      <c r="N15" s="561" t="s">
        <v>817</v>
      </c>
      <c r="O15" s="398">
        <v>20</v>
      </c>
      <c r="P15" s="572">
        <f>+G6</f>
        <v>2039044</v>
      </c>
    </row>
    <row r="16" spans="1:17" ht="16.5" thickBot="1" x14ac:dyDescent="0.3">
      <c r="A16" s="429">
        <v>1</v>
      </c>
      <c r="B16" s="593">
        <v>41091</v>
      </c>
      <c r="C16" s="465">
        <f>+G5</f>
        <v>240000</v>
      </c>
      <c r="D16" s="570">
        <v>0</v>
      </c>
      <c r="E16" s="620">
        <f>+C16-D16</f>
        <v>240000</v>
      </c>
      <c r="F16" s="621">
        <f>+G4</f>
        <v>1799044</v>
      </c>
      <c r="G16" s="622" t="s">
        <v>843</v>
      </c>
      <c r="H16" s="570">
        <f>+'Example 1 Assumptions Summary '!F18</f>
        <v>240000</v>
      </c>
      <c r="I16" s="623" t="s">
        <v>183</v>
      </c>
      <c r="J16" s="570">
        <f>+'Example 1 Assumptions Summary '!F25</f>
        <v>17000</v>
      </c>
      <c r="K16" s="624">
        <f>+H16+J16</f>
        <v>257000</v>
      </c>
      <c r="L16" s="624">
        <f>+J16</f>
        <v>17000</v>
      </c>
      <c r="N16" s="578" t="s">
        <v>60</v>
      </c>
      <c r="O16" s="570">
        <f t="shared" ref="O16:O28" si="0">ROUND(+O$14/O$15,0)</f>
        <v>101952</v>
      </c>
      <c r="P16" s="570">
        <f>+P15-O16</f>
        <v>1937092</v>
      </c>
    </row>
    <row r="17" spans="1:16" x14ac:dyDescent="0.25">
      <c r="A17" s="429">
        <v>2</v>
      </c>
      <c r="B17" s="593">
        <v>41456</v>
      </c>
      <c r="C17" s="465">
        <f>+B4</f>
        <v>120000</v>
      </c>
      <c r="D17" s="465">
        <f>ROUND(+F16*$D$14,0)</f>
        <v>35981</v>
      </c>
      <c r="E17" s="465">
        <f>ROUND(+C17-D17,0)</f>
        <v>84019</v>
      </c>
      <c r="F17" s="465">
        <f t="shared" ref="F17:F34" si="1">+F16-E17</f>
        <v>1715025</v>
      </c>
      <c r="G17" s="587">
        <f>+'Example 1 Assumptions Summary '!E19</f>
        <v>0.05</v>
      </c>
      <c r="H17" s="465">
        <f>+'Example 1 Assumptions Summary '!F19</f>
        <v>126000</v>
      </c>
      <c r="I17" s="465">
        <f>+H17-C17</f>
        <v>6000</v>
      </c>
      <c r="J17" s="465">
        <f>+'Example 1 Assumptions Summary '!F26</f>
        <v>17500</v>
      </c>
      <c r="K17" s="471">
        <f t="shared" ref="K17:K18" si="2">+H17+J17</f>
        <v>143500</v>
      </c>
      <c r="L17" s="471">
        <f>+I17+J17</f>
        <v>23500</v>
      </c>
      <c r="N17" s="470">
        <v>2014</v>
      </c>
      <c r="O17" s="465">
        <f t="shared" si="0"/>
        <v>101952</v>
      </c>
      <c r="P17" s="465">
        <f>+P16-O17</f>
        <v>1835140</v>
      </c>
    </row>
    <row r="18" spans="1:16" x14ac:dyDescent="0.25">
      <c r="A18" s="429">
        <v>3</v>
      </c>
      <c r="B18" s="593">
        <v>41821</v>
      </c>
      <c r="C18" s="465">
        <f>+C17</f>
        <v>120000</v>
      </c>
      <c r="D18" s="465">
        <f t="shared" ref="D18:D33" si="3">ROUND(+F17*$D$14,0)</f>
        <v>34301</v>
      </c>
      <c r="E18" s="465">
        <f t="shared" ref="E18:E35" si="4">ROUND(+C18-D18,0)</f>
        <v>85699</v>
      </c>
      <c r="F18" s="465">
        <f t="shared" si="1"/>
        <v>1629326</v>
      </c>
      <c r="G18" s="587">
        <f>+'Example 1 Assumptions Summary '!E20</f>
        <v>0.01</v>
      </c>
      <c r="H18" s="465">
        <f>+'Example 1 Assumptions Summary '!F20</f>
        <v>127260</v>
      </c>
      <c r="I18" s="465">
        <f>+H18-C18</f>
        <v>7260</v>
      </c>
      <c r="J18" s="541">
        <f>+'Example 1 Assumptions Summary '!F27</f>
        <v>18000</v>
      </c>
      <c r="K18" s="471">
        <f t="shared" si="2"/>
        <v>145260</v>
      </c>
      <c r="L18" s="471">
        <f>+I18+J18</f>
        <v>25260</v>
      </c>
      <c r="N18" s="470">
        <v>2015</v>
      </c>
      <c r="O18" s="465">
        <f t="shared" si="0"/>
        <v>101952</v>
      </c>
      <c r="P18" s="465">
        <f t="shared" ref="P18:P35" si="5">+P17-O18</f>
        <v>1733188</v>
      </c>
    </row>
    <row r="19" spans="1:16" ht="14.25" customHeight="1" x14ac:dyDescent="0.25">
      <c r="A19" s="429">
        <v>4</v>
      </c>
      <c r="B19" s="593">
        <v>42186</v>
      </c>
      <c r="C19" s="465">
        <f t="shared" ref="C19:C34" si="6">+C18</f>
        <v>120000</v>
      </c>
      <c r="D19" s="465">
        <f t="shared" si="3"/>
        <v>32587</v>
      </c>
      <c r="E19" s="465">
        <f t="shared" si="4"/>
        <v>87413</v>
      </c>
      <c r="F19" s="465">
        <f t="shared" si="1"/>
        <v>1541913</v>
      </c>
      <c r="G19" s="716" t="s">
        <v>185</v>
      </c>
      <c r="H19" s="717"/>
      <c r="I19" s="717"/>
      <c r="J19" s="717"/>
      <c r="K19" s="717"/>
      <c r="L19" s="718"/>
      <c r="N19" s="470">
        <v>2016</v>
      </c>
      <c r="O19" s="465">
        <f t="shared" si="0"/>
        <v>101952</v>
      </c>
      <c r="P19" s="465">
        <f t="shared" si="5"/>
        <v>1631236</v>
      </c>
    </row>
    <row r="20" spans="1:16" ht="14.25" customHeight="1" x14ac:dyDescent="0.25">
      <c r="A20" s="429">
        <v>5</v>
      </c>
      <c r="B20" s="593">
        <v>42552</v>
      </c>
      <c r="C20" s="465">
        <f t="shared" si="6"/>
        <v>120000</v>
      </c>
      <c r="D20" s="465">
        <f t="shared" si="3"/>
        <v>30838</v>
      </c>
      <c r="E20" s="465">
        <f t="shared" si="4"/>
        <v>89162</v>
      </c>
      <c r="F20" s="465">
        <f t="shared" si="1"/>
        <v>1452751</v>
      </c>
      <c r="G20" s="719"/>
      <c r="H20" s="720"/>
      <c r="I20" s="720"/>
      <c r="J20" s="720"/>
      <c r="K20" s="720"/>
      <c r="L20" s="721"/>
      <c r="N20" s="470">
        <v>2017</v>
      </c>
      <c r="O20" s="465">
        <f t="shared" si="0"/>
        <v>101952</v>
      </c>
      <c r="P20" s="465">
        <f t="shared" si="5"/>
        <v>1529284</v>
      </c>
    </row>
    <row r="21" spans="1:16" ht="14.25" customHeight="1" x14ac:dyDescent="0.25">
      <c r="A21" s="429">
        <v>6</v>
      </c>
      <c r="B21" s="593">
        <v>42917</v>
      </c>
      <c r="C21" s="465">
        <f t="shared" si="6"/>
        <v>120000</v>
      </c>
      <c r="D21" s="465">
        <f t="shared" si="3"/>
        <v>29055</v>
      </c>
      <c r="E21" s="465">
        <f t="shared" si="4"/>
        <v>90945</v>
      </c>
      <c r="F21" s="465">
        <f t="shared" si="1"/>
        <v>1361806</v>
      </c>
      <c r="G21" s="719"/>
      <c r="H21" s="720"/>
      <c r="I21" s="720"/>
      <c r="J21" s="720"/>
      <c r="K21" s="720"/>
      <c r="L21" s="721"/>
      <c r="N21" s="470">
        <v>2018</v>
      </c>
      <c r="O21" s="465">
        <f t="shared" si="0"/>
        <v>101952</v>
      </c>
      <c r="P21" s="465">
        <f t="shared" si="5"/>
        <v>1427332</v>
      </c>
    </row>
    <row r="22" spans="1:16" ht="14.25" customHeight="1" x14ac:dyDescent="0.25">
      <c r="A22" s="429">
        <v>7</v>
      </c>
      <c r="B22" s="593">
        <v>43282</v>
      </c>
      <c r="C22" s="465">
        <f t="shared" si="6"/>
        <v>120000</v>
      </c>
      <c r="D22" s="465">
        <f t="shared" si="3"/>
        <v>27236</v>
      </c>
      <c r="E22" s="465">
        <f t="shared" si="4"/>
        <v>92764</v>
      </c>
      <c r="F22" s="465">
        <f t="shared" si="1"/>
        <v>1269042</v>
      </c>
      <c r="G22" s="719"/>
      <c r="H22" s="720"/>
      <c r="I22" s="720"/>
      <c r="J22" s="720"/>
      <c r="K22" s="720"/>
      <c r="L22" s="721"/>
      <c r="N22" s="470">
        <v>2019</v>
      </c>
      <c r="O22" s="465">
        <f t="shared" si="0"/>
        <v>101952</v>
      </c>
      <c r="P22" s="465">
        <f t="shared" si="5"/>
        <v>1325380</v>
      </c>
    </row>
    <row r="23" spans="1:16" ht="14.25" customHeight="1" x14ac:dyDescent="0.25">
      <c r="A23" s="429">
        <v>8</v>
      </c>
      <c r="B23" s="593">
        <v>43647</v>
      </c>
      <c r="C23" s="465">
        <f t="shared" si="6"/>
        <v>120000</v>
      </c>
      <c r="D23" s="465">
        <f t="shared" si="3"/>
        <v>25381</v>
      </c>
      <c r="E23" s="465">
        <f t="shared" si="4"/>
        <v>94619</v>
      </c>
      <c r="F23" s="465">
        <f t="shared" si="1"/>
        <v>1174423</v>
      </c>
      <c r="G23" s="719"/>
      <c r="H23" s="720"/>
      <c r="I23" s="720"/>
      <c r="J23" s="720"/>
      <c r="K23" s="720"/>
      <c r="L23" s="721"/>
      <c r="N23" s="470">
        <v>2020</v>
      </c>
      <c r="O23" s="465">
        <f t="shared" si="0"/>
        <v>101952</v>
      </c>
      <c r="P23" s="465">
        <f t="shared" si="5"/>
        <v>1223428</v>
      </c>
    </row>
    <row r="24" spans="1:16" ht="14.25" customHeight="1" x14ac:dyDescent="0.25">
      <c r="A24" s="429">
        <v>9</v>
      </c>
      <c r="B24" s="593">
        <v>44013</v>
      </c>
      <c r="C24" s="465">
        <f t="shared" si="6"/>
        <v>120000</v>
      </c>
      <c r="D24" s="465">
        <f t="shared" si="3"/>
        <v>23488</v>
      </c>
      <c r="E24" s="465">
        <f t="shared" si="4"/>
        <v>96512</v>
      </c>
      <c r="F24" s="465">
        <f t="shared" si="1"/>
        <v>1077911</v>
      </c>
      <c r="G24" s="719"/>
      <c r="H24" s="720"/>
      <c r="I24" s="720"/>
      <c r="J24" s="720"/>
      <c r="K24" s="720"/>
      <c r="L24" s="721"/>
      <c r="N24" s="470">
        <v>2021</v>
      </c>
      <c r="O24" s="465">
        <f t="shared" si="0"/>
        <v>101952</v>
      </c>
      <c r="P24" s="465">
        <f t="shared" si="5"/>
        <v>1121476</v>
      </c>
    </row>
    <row r="25" spans="1:16" ht="14.25" customHeight="1" x14ac:dyDescent="0.25">
      <c r="A25" s="429">
        <v>10</v>
      </c>
      <c r="B25" s="593">
        <v>44378</v>
      </c>
      <c r="C25" s="465">
        <f t="shared" si="6"/>
        <v>120000</v>
      </c>
      <c r="D25" s="465">
        <f t="shared" si="3"/>
        <v>21558</v>
      </c>
      <c r="E25" s="465">
        <f t="shared" si="4"/>
        <v>98442</v>
      </c>
      <c r="F25" s="465">
        <f t="shared" si="1"/>
        <v>979469</v>
      </c>
      <c r="G25" s="719"/>
      <c r="H25" s="720"/>
      <c r="I25" s="720"/>
      <c r="J25" s="720"/>
      <c r="K25" s="720"/>
      <c r="L25" s="721"/>
      <c r="N25" s="470">
        <v>2022</v>
      </c>
      <c r="O25" s="465">
        <f t="shared" si="0"/>
        <v>101952</v>
      </c>
      <c r="P25" s="465">
        <f t="shared" si="5"/>
        <v>1019524</v>
      </c>
    </row>
    <row r="26" spans="1:16" ht="14.25" customHeight="1" x14ac:dyDescent="0.25">
      <c r="A26" s="429">
        <v>11</v>
      </c>
      <c r="B26" s="593">
        <v>44743</v>
      </c>
      <c r="C26" s="465">
        <f t="shared" si="6"/>
        <v>120000</v>
      </c>
      <c r="D26" s="465">
        <f t="shared" si="3"/>
        <v>19589</v>
      </c>
      <c r="E26" s="465">
        <f t="shared" si="4"/>
        <v>100411</v>
      </c>
      <c r="F26" s="465">
        <f t="shared" si="1"/>
        <v>879058</v>
      </c>
      <c r="G26" s="719"/>
      <c r="H26" s="720"/>
      <c r="I26" s="720"/>
      <c r="J26" s="720"/>
      <c r="K26" s="720"/>
      <c r="L26" s="721"/>
      <c r="N26" s="470">
        <v>2023</v>
      </c>
      <c r="O26" s="465">
        <f t="shared" si="0"/>
        <v>101952</v>
      </c>
      <c r="P26" s="465">
        <f t="shared" si="5"/>
        <v>917572</v>
      </c>
    </row>
    <row r="27" spans="1:16" ht="14.25" customHeight="1" x14ac:dyDescent="0.25">
      <c r="A27" s="429">
        <v>12</v>
      </c>
      <c r="B27" s="593">
        <v>45108</v>
      </c>
      <c r="C27" s="465">
        <f t="shared" si="6"/>
        <v>120000</v>
      </c>
      <c r="D27" s="465">
        <f t="shared" si="3"/>
        <v>17581</v>
      </c>
      <c r="E27" s="465">
        <f t="shared" si="4"/>
        <v>102419</v>
      </c>
      <c r="F27" s="465">
        <f t="shared" si="1"/>
        <v>776639</v>
      </c>
      <c r="G27" s="719"/>
      <c r="H27" s="720"/>
      <c r="I27" s="720"/>
      <c r="J27" s="720"/>
      <c r="K27" s="720"/>
      <c r="L27" s="721"/>
      <c r="N27" s="470">
        <v>2024</v>
      </c>
      <c r="O27" s="465">
        <f t="shared" si="0"/>
        <v>101952</v>
      </c>
      <c r="P27" s="465">
        <f t="shared" si="5"/>
        <v>815620</v>
      </c>
    </row>
    <row r="28" spans="1:16" ht="14.25" customHeight="1" x14ac:dyDescent="0.25">
      <c r="A28" s="429">
        <v>13</v>
      </c>
      <c r="B28" s="593">
        <v>45474</v>
      </c>
      <c r="C28" s="465">
        <f t="shared" si="6"/>
        <v>120000</v>
      </c>
      <c r="D28" s="465">
        <f t="shared" si="3"/>
        <v>15533</v>
      </c>
      <c r="E28" s="465">
        <f t="shared" si="4"/>
        <v>104467</v>
      </c>
      <c r="F28" s="465">
        <f t="shared" si="1"/>
        <v>672172</v>
      </c>
      <c r="G28" s="719"/>
      <c r="H28" s="720"/>
      <c r="I28" s="720"/>
      <c r="J28" s="720"/>
      <c r="K28" s="720"/>
      <c r="L28" s="721"/>
      <c r="N28" s="470">
        <v>2025</v>
      </c>
      <c r="O28" s="465">
        <f t="shared" si="0"/>
        <v>101952</v>
      </c>
      <c r="P28" s="465">
        <f t="shared" si="5"/>
        <v>713668</v>
      </c>
    </row>
    <row r="29" spans="1:16" ht="14.25" customHeight="1" x14ac:dyDescent="0.25">
      <c r="A29" s="429">
        <v>14</v>
      </c>
      <c r="B29" s="593">
        <v>45839</v>
      </c>
      <c r="C29" s="465">
        <f t="shared" si="6"/>
        <v>120000</v>
      </c>
      <c r="D29" s="465">
        <f t="shared" si="3"/>
        <v>13443</v>
      </c>
      <c r="E29" s="465">
        <f t="shared" si="4"/>
        <v>106557</v>
      </c>
      <c r="F29" s="465">
        <f t="shared" si="1"/>
        <v>565615</v>
      </c>
      <c r="G29" s="719"/>
      <c r="H29" s="720"/>
      <c r="I29" s="720"/>
      <c r="J29" s="720"/>
      <c r="K29" s="720"/>
      <c r="L29" s="721"/>
      <c r="N29" s="470">
        <v>2026</v>
      </c>
      <c r="O29" s="465">
        <f t="shared" ref="O29" si="7">ROUND(+O$14/O$15,0)+1</f>
        <v>101953</v>
      </c>
      <c r="P29" s="465">
        <f t="shared" si="5"/>
        <v>611715</v>
      </c>
    </row>
    <row r="30" spans="1:16" ht="14.25" customHeight="1" x14ac:dyDescent="0.25">
      <c r="A30" s="429">
        <v>15</v>
      </c>
      <c r="B30" s="593">
        <v>46204</v>
      </c>
      <c r="C30" s="465">
        <f t="shared" si="6"/>
        <v>120000</v>
      </c>
      <c r="D30" s="465">
        <f t="shared" si="3"/>
        <v>11312</v>
      </c>
      <c r="E30" s="465">
        <f t="shared" si="4"/>
        <v>108688</v>
      </c>
      <c r="F30" s="465">
        <f t="shared" si="1"/>
        <v>456927</v>
      </c>
      <c r="G30" s="719"/>
      <c r="H30" s="720"/>
      <c r="I30" s="720"/>
      <c r="J30" s="720"/>
      <c r="K30" s="720"/>
      <c r="L30" s="721"/>
      <c r="N30" s="470">
        <v>2027</v>
      </c>
      <c r="O30" s="465">
        <f>ROUND(+O$14/O$15,0)</f>
        <v>101952</v>
      </c>
      <c r="P30" s="465">
        <f t="shared" si="5"/>
        <v>509763</v>
      </c>
    </row>
    <row r="31" spans="1:16" ht="14.25" customHeight="1" x14ac:dyDescent="0.25">
      <c r="A31" s="429">
        <v>16</v>
      </c>
      <c r="B31" s="593">
        <v>46569</v>
      </c>
      <c r="C31" s="465">
        <f t="shared" si="6"/>
        <v>120000</v>
      </c>
      <c r="D31" s="465">
        <f t="shared" si="3"/>
        <v>9139</v>
      </c>
      <c r="E31" s="465">
        <f t="shared" si="4"/>
        <v>110861</v>
      </c>
      <c r="F31" s="465">
        <f t="shared" si="1"/>
        <v>346066</v>
      </c>
      <c r="G31" s="719"/>
      <c r="H31" s="720"/>
      <c r="I31" s="720"/>
      <c r="J31" s="720"/>
      <c r="K31" s="720"/>
      <c r="L31" s="721"/>
      <c r="N31" s="470">
        <v>2028</v>
      </c>
      <c r="O31" s="465">
        <f>ROUND(+O$14/O$15,0)</f>
        <v>101952</v>
      </c>
      <c r="P31" s="465">
        <f t="shared" si="5"/>
        <v>407811</v>
      </c>
    </row>
    <row r="32" spans="1:16" ht="14.25" customHeight="1" x14ac:dyDescent="0.25">
      <c r="A32" s="429">
        <v>17</v>
      </c>
      <c r="B32" s="593">
        <v>46935</v>
      </c>
      <c r="C32" s="465">
        <f t="shared" si="6"/>
        <v>120000</v>
      </c>
      <c r="D32" s="465">
        <f t="shared" si="3"/>
        <v>6921</v>
      </c>
      <c r="E32" s="465">
        <f t="shared" si="4"/>
        <v>113079</v>
      </c>
      <c r="F32" s="465">
        <f t="shared" si="1"/>
        <v>232987</v>
      </c>
      <c r="G32" s="719"/>
      <c r="H32" s="720"/>
      <c r="I32" s="720"/>
      <c r="J32" s="720"/>
      <c r="K32" s="720"/>
      <c r="L32" s="721"/>
      <c r="N32" s="470">
        <v>2029</v>
      </c>
      <c r="O32" s="465">
        <f>ROUND(+O$14/O$15,0)</f>
        <v>101952</v>
      </c>
      <c r="P32" s="465">
        <f t="shared" si="5"/>
        <v>305859</v>
      </c>
    </row>
    <row r="33" spans="1:17" ht="14.25" customHeight="1" x14ac:dyDescent="0.25">
      <c r="A33" s="429">
        <v>18</v>
      </c>
      <c r="B33" s="593">
        <v>47300</v>
      </c>
      <c r="C33" s="465">
        <f t="shared" si="6"/>
        <v>120000</v>
      </c>
      <c r="D33" s="465">
        <f t="shared" si="3"/>
        <v>4660</v>
      </c>
      <c r="E33" s="465">
        <f t="shared" si="4"/>
        <v>115340</v>
      </c>
      <c r="F33" s="465">
        <f t="shared" si="1"/>
        <v>117647</v>
      </c>
      <c r="G33" s="719"/>
      <c r="H33" s="720"/>
      <c r="I33" s="720"/>
      <c r="J33" s="720"/>
      <c r="K33" s="720"/>
      <c r="L33" s="721"/>
      <c r="N33" s="470">
        <v>2030</v>
      </c>
      <c r="O33" s="465">
        <f>ROUND(+O$14/O$15,0)</f>
        <v>101952</v>
      </c>
      <c r="P33" s="465">
        <f t="shared" si="5"/>
        <v>203907</v>
      </c>
    </row>
    <row r="34" spans="1:17" ht="14.25" customHeight="1" x14ac:dyDescent="0.25">
      <c r="A34" s="429">
        <v>19</v>
      </c>
      <c r="B34" s="593">
        <v>47665</v>
      </c>
      <c r="C34" s="465">
        <f t="shared" si="6"/>
        <v>120000</v>
      </c>
      <c r="D34" s="465">
        <f>ROUND(+F33*$D$14,0)</f>
        <v>2353</v>
      </c>
      <c r="E34" s="465">
        <f t="shared" si="4"/>
        <v>117647</v>
      </c>
      <c r="F34" s="465">
        <f t="shared" si="1"/>
        <v>0</v>
      </c>
      <c r="G34" s="722"/>
      <c r="H34" s="723"/>
      <c r="I34" s="723"/>
      <c r="J34" s="723"/>
      <c r="K34" s="723"/>
      <c r="L34" s="724"/>
      <c r="N34" s="470">
        <v>2031</v>
      </c>
      <c r="O34" s="465">
        <f>ROUND(+O$14/O$15,0)</f>
        <v>101952</v>
      </c>
      <c r="P34" s="465">
        <f t="shared" si="5"/>
        <v>101955</v>
      </c>
    </row>
    <row r="35" spans="1:17" ht="14.25" customHeight="1" x14ac:dyDescent="0.25">
      <c r="A35" s="436">
        <v>20</v>
      </c>
      <c r="B35" s="625">
        <v>48030</v>
      </c>
      <c r="C35" s="541">
        <v>0</v>
      </c>
      <c r="D35" s="541">
        <f t="shared" ref="D35" si="8">ROUND(+F34*$D$14,0)</f>
        <v>0</v>
      </c>
      <c r="E35" s="541">
        <f t="shared" si="4"/>
        <v>0</v>
      </c>
      <c r="F35" s="541">
        <v>0</v>
      </c>
      <c r="G35" s="626"/>
      <c r="H35" s="627">
        <f>+'Example 1 Assumptions Summary '!F22</f>
        <v>180000</v>
      </c>
      <c r="I35" s="627">
        <f>+H35-C35</f>
        <v>180000</v>
      </c>
      <c r="J35" s="628">
        <f>+'Example 1 Assumptions Summary '!F28</f>
        <v>25000</v>
      </c>
      <c r="K35" s="628">
        <f t="shared" ref="K35" si="9">+H35+J35</f>
        <v>205000</v>
      </c>
      <c r="L35" s="628">
        <f>+I35+J35</f>
        <v>205000</v>
      </c>
      <c r="N35" s="480">
        <v>2032</v>
      </c>
      <c r="O35" s="541">
        <f>ROUND(+O$14/O$15,0)+3</f>
        <v>101955</v>
      </c>
      <c r="P35" s="541">
        <f t="shared" si="5"/>
        <v>0</v>
      </c>
      <c r="Q35" s="436"/>
    </row>
    <row r="36" spans="1:17" x14ac:dyDescent="0.25">
      <c r="A36" s="429">
        <v>21</v>
      </c>
      <c r="B36" s="600"/>
      <c r="C36" s="444"/>
      <c r="D36" s="444"/>
      <c r="E36" s="444"/>
      <c r="F36" s="436"/>
      <c r="H36" s="599"/>
      <c r="I36" s="599"/>
      <c r="J36" s="444"/>
      <c r="K36" s="444"/>
    </row>
    <row r="37" spans="1:17" x14ac:dyDescent="0.25">
      <c r="A37" s="429">
        <v>22</v>
      </c>
      <c r="B37" s="600"/>
      <c r="C37" s="444"/>
      <c r="D37" s="444"/>
      <c r="E37" s="444"/>
      <c r="F37" s="444"/>
      <c r="G37" s="599"/>
      <c r="H37" s="444"/>
      <c r="I37" s="444"/>
      <c r="J37" s="444"/>
    </row>
    <row r="38" spans="1:17" x14ac:dyDescent="0.25">
      <c r="A38" s="429">
        <v>23</v>
      </c>
      <c r="B38" s="600"/>
      <c r="C38" s="444"/>
      <c r="D38" s="444"/>
      <c r="E38" s="444"/>
      <c r="F38" s="444"/>
      <c r="G38" s="599"/>
      <c r="H38" s="444"/>
      <c r="I38" s="444"/>
      <c r="J38" s="444"/>
    </row>
    <row r="39" spans="1:17" x14ac:dyDescent="0.25">
      <c r="A39" s="429">
        <v>24</v>
      </c>
      <c r="B39" s="600"/>
      <c r="C39" s="444"/>
      <c r="D39" s="444"/>
      <c r="E39" s="444"/>
      <c r="F39" s="444"/>
      <c r="G39" s="599"/>
      <c r="H39" s="444"/>
      <c r="I39" s="444"/>
      <c r="J39" s="444"/>
    </row>
    <row r="40" spans="1:17" x14ac:dyDescent="0.25">
      <c r="A40" s="429">
        <v>25</v>
      </c>
      <c r="B40" s="600"/>
      <c r="C40" s="444"/>
      <c r="D40" s="444"/>
      <c r="E40" s="444"/>
      <c r="F40" s="444"/>
      <c r="G40" s="599"/>
      <c r="H40" s="444"/>
      <c r="I40" s="444"/>
      <c r="J40" s="444"/>
    </row>
    <row r="41" spans="1:17" x14ac:dyDescent="0.25">
      <c r="A41" s="429">
        <v>26</v>
      </c>
      <c r="B41" s="600"/>
      <c r="C41" s="444"/>
      <c r="D41" s="444"/>
      <c r="E41" s="444"/>
      <c r="F41" s="444"/>
      <c r="G41" s="599"/>
      <c r="H41" s="444"/>
      <c r="I41" s="444"/>
      <c r="J41" s="444"/>
    </row>
    <row r="42" spans="1:17" x14ac:dyDescent="0.25">
      <c r="A42" s="429">
        <v>27</v>
      </c>
      <c r="B42" s="600"/>
      <c r="C42" s="444"/>
      <c r="D42" s="444"/>
      <c r="E42" s="444"/>
      <c r="F42" s="444"/>
      <c r="G42" s="599"/>
      <c r="H42" s="444"/>
      <c r="I42" s="444"/>
      <c r="J42" s="444"/>
    </row>
    <row r="43" spans="1:17" x14ac:dyDescent="0.25">
      <c r="A43" s="429">
        <v>28</v>
      </c>
      <c r="B43" s="600"/>
      <c r="C43" s="444"/>
      <c r="D43" s="444"/>
      <c r="E43" s="444"/>
      <c r="F43" s="444"/>
      <c r="G43" s="599"/>
      <c r="H43" s="444"/>
      <c r="I43" s="444"/>
      <c r="J43" s="444"/>
    </row>
    <row r="44" spans="1:17" x14ac:dyDescent="0.25">
      <c r="A44" s="429">
        <v>29</v>
      </c>
      <c r="B44" s="600"/>
      <c r="C44" s="444"/>
      <c r="D44" s="444"/>
      <c r="E44" s="444"/>
      <c r="F44" s="444"/>
      <c r="G44" s="599"/>
      <c r="H44" s="444"/>
      <c r="I44" s="444"/>
      <c r="J44" s="444"/>
    </row>
    <row r="45" spans="1:17" x14ac:dyDescent="0.25">
      <c r="A45" s="429">
        <v>30</v>
      </c>
      <c r="B45" s="600"/>
      <c r="C45" s="444"/>
      <c r="D45" s="444"/>
      <c r="E45" s="444"/>
      <c r="F45" s="444"/>
      <c r="G45" s="599"/>
      <c r="H45" s="444"/>
      <c r="I45" s="444"/>
      <c r="J45" s="444"/>
    </row>
    <row r="46" spans="1:17" x14ac:dyDescent="0.25">
      <c r="B46" s="600"/>
      <c r="C46" s="444"/>
      <c r="D46" s="444"/>
      <c r="E46" s="444"/>
      <c r="F46" s="444"/>
      <c r="G46" s="599"/>
      <c r="H46" s="444"/>
      <c r="I46" s="444"/>
      <c r="J46" s="444"/>
    </row>
    <row r="47" spans="1:17" x14ac:dyDescent="0.25">
      <c r="B47" s="600"/>
      <c r="C47" s="444"/>
      <c r="D47" s="444"/>
      <c r="E47" s="444"/>
      <c r="F47" s="444"/>
      <c r="G47" s="599"/>
      <c r="H47" s="444"/>
      <c r="I47" s="444"/>
      <c r="J47" s="444"/>
    </row>
    <row r="48" spans="1:17" x14ac:dyDescent="0.25">
      <c r="B48" s="600"/>
      <c r="C48" s="444"/>
      <c r="D48" s="444"/>
      <c r="E48" s="444"/>
      <c r="F48" s="444"/>
      <c r="G48" s="599"/>
      <c r="H48" s="444"/>
      <c r="I48" s="444"/>
      <c r="J48" s="444"/>
    </row>
    <row r="49" spans="2:10" x14ac:dyDescent="0.25">
      <c r="B49" s="600"/>
      <c r="C49" s="444"/>
      <c r="D49" s="444"/>
      <c r="E49" s="444"/>
      <c r="F49" s="444"/>
      <c r="G49" s="599"/>
      <c r="H49" s="441"/>
      <c r="I49" s="441"/>
      <c r="J49" s="444"/>
    </row>
    <row r="50" spans="2:10" x14ac:dyDescent="0.25">
      <c r="B50" s="600"/>
      <c r="C50" s="444"/>
      <c r="D50" s="444"/>
      <c r="E50" s="444"/>
      <c r="F50" s="444"/>
      <c r="G50" s="599"/>
      <c r="H50" s="441"/>
      <c r="I50" s="441"/>
      <c r="J50" s="441"/>
    </row>
    <row r="51" spans="2:10" x14ac:dyDescent="0.25">
      <c r="B51" s="600"/>
      <c r="C51" s="444"/>
      <c r="D51" s="444"/>
      <c r="E51" s="444"/>
      <c r="F51" s="444"/>
      <c r="G51" s="599"/>
      <c r="H51" s="441"/>
      <c r="I51" s="441"/>
      <c r="J51" s="441"/>
    </row>
    <row r="52" spans="2:10" x14ac:dyDescent="0.25">
      <c r="B52" s="600"/>
      <c r="C52" s="444"/>
      <c r="D52" s="444"/>
      <c r="E52" s="444"/>
      <c r="F52" s="444"/>
      <c r="G52" s="436"/>
      <c r="H52" s="441"/>
      <c r="I52" s="441"/>
      <c r="J52" s="441"/>
    </row>
    <row r="53" spans="2:10" x14ac:dyDescent="0.25">
      <c r="B53" s="600"/>
      <c r="C53" s="444"/>
      <c r="D53" s="444"/>
      <c r="E53" s="444"/>
      <c r="F53" s="444"/>
      <c r="G53" s="436"/>
      <c r="H53" s="436"/>
      <c r="I53" s="436"/>
      <c r="J53" s="444"/>
    </row>
    <row r="54" spans="2:10" x14ac:dyDescent="0.25">
      <c r="B54" s="600"/>
      <c r="C54" s="444"/>
      <c r="D54" s="444"/>
      <c r="E54" s="444"/>
      <c r="F54" s="444"/>
      <c r="G54" s="436"/>
      <c r="H54" s="436"/>
      <c r="I54" s="436"/>
      <c r="J54" s="444"/>
    </row>
    <row r="55" spans="2:10" x14ac:dyDescent="0.25">
      <c r="B55" s="600"/>
      <c r="C55" s="444"/>
      <c r="D55" s="444"/>
      <c r="E55" s="444"/>
      <c r="F55" s="444"/>
      <c r="G55" s="436"/>
      <c r="H55" s="436"/>
      <c r="I55" s="436"/>
      <c r="J55" s="444"/>
    </row>
    <row r="56" spans="2:10" x14ac:dyDescent="0.25">
      <c r="B56" s="600"/>
      <c r="C56" s="444"/>
      <c r="D56" s="444"/>
      <c r="E56" s="444"/>
      <c r="F56" s="444"/>
      <c r="G56" s="436"/>
      <c r="H56" s="436"/>
      <c r="I56" s="436"/>
      <c r="J56" s="444"/>
    </row>
    <row r="57" spans="2:10" x14ac:dyDescent="0.25">
      <c r="B57" s="600"/>
      <c r="C57" s="444"/>
      <c r="D57" s="444"/>
      <c r="E57" s="444"/>
      <c r="F57" s="444"/>
      <c r="G57" s="436"/>
      <c r="H57" s="436"/>
      <c r="I57" s="436"/>
      <c r="J57" s="444"/>
    </row>
    <row r="58" spans="2:10" x14ac:dyDescent="0.25">
      <c r="B58" s="600"/>
      <c r="C58" s="444"/>
      <c r="D58" s="444"/>
      <c r="E58" s="444"/>
      <c r="F58" s="444"/>
      <c r="G58" s="436"/>
      <c r="H58" s="436"/>
      <c r="I58" s="436"/>
      <c r="J58" s="444"/>
    </row>
    <row r="59" spans="2:10" x14ac:dyDescent="0.25">
      <c r="B59" s="600"/>
      <c r="C59" s="444"/>
      <c r="D59" s="444"/>
      <c r="E59" s="444"/>
      <c r="F59" s="444"/>
      <c r="G59" s="436"/>
      <c r="H59" s="436"/>
      <c r="I59" s="436"/>
      <c r="J59" s="444"/>
    </row>
    <row r="60" spans="2:10" x14ac:dyDescent="0.25">
      <c r="C60" s="444"/>
      <c r="D60" s="444"/>
      <c r="E60" s="444"/>
      <c r="F60" s="444"/>
      <c r="J60" s="444"/>
    </row>
    <row r="61" spans="2:10" x14ac:dyDescent="0.25">
      <c r="C61" s="444"/>
      <c r="D61" s="444"/>
      <c r="E61" s="444"/>
      <c r="F61" s="444"/>
      <c r="J61" s="444"/>
    </row>
    <row r="62" spans="2:10" x14ac:dyDescent="0.25">
      <c r="C62" s="444"/>
      <c r="D62" s="444"/>
      <c r="E62" s="444"/>
      <c r="F62" s="444"/>
      <c r="J62" s="444"/>
    </row>
    <row r="63" spans="2:10" x14ac:dyDescent="0.25">
      <c r="C63" s="444"/>
      <c r="D63" s="444"/>
      <c r="E63" s="444"/>
      <c r="F63" s="444"/>
      <c r="J63" s="444"/>
    </row>
    <row r="64" spans="2:10" x14ac:dyDescent="0.25">
      <c r="C64" s="444"/>
      <c r="D64" s="444"/>
      <c r="E64" s="444"/>
      <c r="F64" s="444"/>
      <c r="J64" s="444"/>
    </row>
    <row r="65" spans="3:10" x14ac:dyDescent="0.25">
      <c r="C65" s="444"/>
      <c r="D65" s="444"/>
      <c r="E65" s="444"/>
      <c r="F65" s="444"/>
      <c r="J65" s="444"/>
    </row>
    <row r="66" spans="3:10" x14ac:dyDescent="0.25">
      <c r="C66" s="444"/>
      <c r="D66" s="444"/>
      <c r="E66" s="444"/>
      <c r="F66" s="444"/>
      <c r="J66" s="444"/>
    </row>
    <row r="67" spans="3:10" x14ac:dyDescent="0.25">
      <c r="C67" s="444"/>
      <c r="D67" s="444"/>
      <c r="E67" s="444"/>
      <c r="F67" s="444"/>
      <c r="J67" s="444"/>
    </row>
    <row r="68" spans="3:10" x14ac:dyDescent="0.25">
      <c r="C68" s="444"/>
      <c r="D68" s="444"/>
      <c r="E68" s="444"/>
      <c r="F68" s="444"/>
      <c r="J68" s="444"/>
    </row>
    <row r="69" spans="3:10" x14ac:dyDescent="0.25">
      <c r="C69" s="444"/>
      <c r="D69" s="444"/>
      <c r="E69" s="444"/>
      <c r="F69" s="444"/>
      <c r="J69" s="444"/>
    </row>
    <row r="70" spans="3:10" x14ac:dyDescent="0.25">
      <c r="C70" s="444"/>
      <c r="D70" s="444"/>
      <c r="E70" s="444"/>
      <c r="F70" s="444"/>
      <c r="J70" s="444"/>
    </row>
    <row r="71" spans="3:10" x14ac:dyDescent="0.25">
      <c r="C71" s="444"/>
      <c r="D71" s="444"/>
      <c r="E71" s="444"/>
      <c r="F71" s="444"/>
      <c r="J71" s="444"/>
    </row>
    <row r="72" spans="3:10" x14ac:dyDescent="0.25">
      <c r="C72" s="444"/>
      <c r="D72" s="444"/>
      <c r="E72" s="444"/>
      <c r="F72" s="444"/>
      <c r="J72" s="444"/>
    </row>
    <row r="73" spans="3:10" x14ac:dyDescent="0.25">
      <c r="C73" s="444"/>
      <c r="D73" s="444"/>
      <c r="E73" s="444"/>
      <c r="F73" s="444"/>
      <c r="J73" s="444"/>
    </row>
    <row r="74" spans="3:10" x14ac:dyDescent="0.25">
      <c r="C74" s="444"/>
      <c r="D74" s="444"/>
      <c r="E74" s="444"/>
      <c r="F74" s="444"/>
      <c r="J74" s="444"/>
    </row>
    <row r="75" spans="3:10" x14ac:dyDescent="0.25">
      <c r="C75" s="444"/>
      <c r="D75" s="444"/>
      <c r="E75" s="444"/>
      <c r="F75" s="444"/>
      <c r="J75" s="444"/>
    </row>
    <row r="76" spans="3:10" x14ac:dyDescent="0.25">
      <c r="C76" s="444"/>
      <c r="D76" s="444"/>
      <c r="E76" s="444"/>
      <c r="F76" s="444"/>
      <c r="J76" s="444"/>
    </row>
    <row r="77" spans="3:10" x14ac:dyDescent="0.25">
      <c r="C77" s="444"/>
      <c r="D77" s="444"/>
      <c r="E77" s="444"/>
      <c r="F77" s="444"/>
      <c r="J77" s="444"/>
    </row>
    <row r="78" spans="3:10" x14ac:dyDescent="0.25">
      <c r="C78" s="444"/>
      <c r="D78" s="444"/>
      <c r="E78" s="444"/>
      <c r="F78" s="444"/>
      <c r="J78" s="444"/>
    </row>
    <row r="79" spans="3:10" x14ac:dyDescent="0.25">
      <c r="C79" s="444"/>
      <c r="D79" s="444"/>
      <c r="E79" s="444"/>
      <c r="F79" s="444"/>
      <c r="J79" s="444"/>
    </row>
    <row r="80" spans="3:10" x14ac:dyDescent="0.25">
      <c r="C80" s="444"/>
      <c r="D80" s="444"/>
      <c r="E80" s="444"/>
      <c r="F80" s="444"/>
      <c r="J80" s="444"/>
    </row>
    <row r="81" spans="3:10" x14ac:dyDescent="0.25">
      <c r="C81" s="444"/>
      <c r="D81" s="444"/>
      <c r="E81" s="444"/>
      <c r="F81" s="444"/>
      <c r="J81" s="444"/>
    </row>
    <row r="82" spans="3:10" x14ac:dyDescent="0.25">
      <c r="C82" s="444"/>
      <c r="D82" s="444"/>
      <c r="E82" s="444"/>
      <c r="F82" s="444"/>
      <c r="J82" s="444"/>
    </row>
    <row r="83" spans="3:10" x14ac:dyDescent="0.25">
      <c r="C83" s="444"/>
      <c r="D83" s="444"/>
      <c r="E83" s="444"/>
      <c r="F83" s="444"/>
      <c r="J83" s="444"/>
    </row>
    <row r="84" spans="3:10" x14ac:dyDescent="0.25">
      <c r="C84" s="444"/>
      <c r="D84" s="444"/>
      <c r="E84" s="444"/>
      <c r="F84" s="444"/>
      <c r="J84" s="444"/>
    </row>
    <row r="85" spans="3:10" x14ac:dyDescent="0.25">
      <c r="C85" s="444"/>
      <c r="D85" s="444"/>
      <c r="E85" s="444"/>
      <c r="F85" s="444"/>
      <c r="J85" s="444"/>
    </row>
  </sheetData>
  <mergeCells count="16">
    <mergeCell ref="N12:P12"/>
    <mergeCell ref="B3:E3"/>
    <mergeCell ref="G3:H3"/>
    <mergeCell ref="G19:L34"/>
    <mergeCell ref="H13:H14"/>
    <mergeCell ref="I13:I14"/>
    <mergeCell ref="J13:J14"/>
    <mergeCell ref="K13:K14"/>
    <mergeCell ref="L13:L14"/>
    <mergeCell ref="G12:L12"/>
    <mergeCell ref="B12:F12"/>
    <mergeCell ref="B13:B14"/>
    <mergeCell ref="C13:C14"/>
    <mergeCell ref="E13:E14"/>
    <mergeCell ref="F13:F14"/>
    <mergeCell ref="G13:G14"/>
  </mergeCells>
  <pageMargins left="0.7" right="0.7" top="0.75" bottom="0.75" header="0.3" footer="0.3"/>
  <pageSetup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01"/>
  <sheetViews>
    <sheetView workbookViewId="0">
      <selection sqref="A1:O1"/>
    </sheetView>
  </sheetViews>
  <sheetFormatPr defaultColWidth="9" defaultRowHeight="15.75" x14ac:dyDescent="0.25"/>
  <cols>
    <col min="1" max="1" width="12.140625" style="498" customWidth="1"/>
    <col min="2" max="2" width="5.5703125" style="389" customWidth="1"/>
    <col min="3" max="3" width="46" style="389" customWidth="1"/>
    <col min="4" max="4" width="11.5703125" style="388" bestFit="1" customWidth="1"/>
    <col min="5" max="5" width="11.42578125" style="388" customWidth="1"/>
    <col min="6" max="6" width="3.7109375" style="389" customWidth="1"/>
    <col min="7" max="7" width="5.5703125" style="389" customWidth="1"/>
    <col min="8" max="8" width="47" style="389" customWidth="1"/>
    <col min="9" max="9" width="12.5703125" style="388" customWidth="1"/>
    <col min="10" max="10" width="14" style="388" customWidth="1"/>
    <col min="11" max="11" width="4.7109375" style="389" customWidth="1"/>
    <col min="12" max="12" width="5.5703125" style="389" customWidth="1"/>
    <col min="13" max="13" width="45.7109375" style="389" customWidth="1"/>
    <col min="14" max="15" width="11.5703125" style="388" bestFit="1" customWidth="1"/>
    <col min="16" max="16384" width="9" style="389"/>
  </cols>
  <sheetData>
    <row r="1" spans="1:16" ht="14.65" customHeight="1" x14ac:dyDescent="0.25">
      <c r="A1" s="732" t="s">
        <v>154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</row>
    <row r="2" spans="1:16" x14ac:dyDescent="0.25">
      <c r="A2" s="498" t="s">
        <v>728</v>
      </c>
      <c r="G2" s="390"/>
    </row>
    <row r="3" spans="1:16" x14ac:dyDescent="0.25">
      <c r="A3" s="389"/>
      <c r="B3" s="393"/>
      <c r="C3" s="393"/>
      <c r="D3" s="392"/>
      <c r="E3" s="392"/>
      <c r="F3" s="393"/>
      <c r="G3" s="393"/>
      <c r="H3" s="393"/>
      <c r="I3" s="392"/>
      <c r="J3" s="392"/>
      <c r="K3" s="393"/>
      <c r="L3" s="393"/>
      <c r="M3" s="393"/>
      <c r="N3" s="392"/>
      <c r="O3" s="392"/>
      <c r="P3" s="393"/>
    </row>
    <row r="4" spans="1:16" ht="15.75" customHeight="1" x14ac:dyDescent="0.25">
      <c r="A4" s="391"/>
      <c r="B4" s="737" t="s">
        <v>19</v>
      </c>
      <c r="C4" s="738"/>
      <c r="D4" s="738"/>
      <c r="E4" s="739"/>
      <c r="F4" s="393"/>
      <c r="G4" s="737" t="s">
        <v>818</v>
      </c>
      <c r="H4" s="738"/>
      <c r="I4" s="738"/>
      <c r="J4" s="739"/>
      <c r="K4" s="393"/>
      <c r="L4" s="737" t="s">
        <v>20</v>
      </c>
      <c r="M4" s="738"/>
      <c r="N4" s="738"/>
      <c r="O4" s="739"/>
      <c r="P4" s="393"/>
    </row>
    <row r="5" spans="1:16" x14ac:dyDescent="0.25">
      <c r="A5" s="391"/>
      <c r="B5" s="397"/>
      <c r="C5" s="397"/>
      <c r="D5" s="395" t="s">
        <v>0</v>
      </c>
      <c r="E5" s="395" t="s">
        <v>1</v>
      </c>
      <c r="F5" s="393"/>
      <c r="G5" s="397"/>
      <c r="H5" s="397"/>
      <c r="I5" s="395" t="s">
        <v>0</v>
      </c>
      <c r="J5" s="395" t="s">
        <v>1</v>
      </c>
      <c r="K5" s="393"/>
      <c r="L5" s="397"/>
      <c r="M5" s="397"/>
      <c r="N5" s="395" t="s">
        <v>0</v>
      </c>
      <c r="O5" s="395" t="s">
        <v>1</v>
      </c>
      <c r="P5" s="393"/>
    </row>
    <row r="6" spans="1:16" ht="14.65" customHeight="1" x14ac:dyDescent="0.25">
      <c r="A6" s="398" t="s">
        <v>49</v>
      </c>
      <c r="B6" s="396"/>
      <c r="C6" s="396"/>
      <c r="D6" s="499"/>
      <c r="E6" s="499"/>
      <c r="F6" s="393"/>
      <c r="G6" s="396"/>
      <c r="H6" s="396"/>
      <c r="I6" s="499"/>
      <c r="J6" s="499"/>
      <c r="K6" s="393"/>
      <c r="L6" s="396"/>
      <c r="M6" s="396"/>
      <c r="N6" s="499"/>
      <c r="O6" s="499"/>
      <c r="P6" s="393"/>
    </row>
    <row r="7" spans="1:16" x14ac:dyDescent="0.25">
      <c r="A7" s="391"/>
      <c r="B7" s="404"/>
      <c r="C7" s="404"/>
      <c r="D7" s="409"/>
      <c r="E7" s="409"/>
      <c r="F7" s="393"/>
      <c r="K7" s="393"/>
      <c r="P7" s="393"/>
    </row>
    <row r="8" spans="1:16" ht="14.65" customHeight="1" x14ac:dyDescent="0.25">
      <c r="A8" s="400">
        <f>+'Example 1 Assumptions Summary '!F4</f>
        <v>41091</v>
      </c>
      <c r="B8" s="389" t="s">
        <v>78</v>
      </c>
      <c r="D8" s="388">
        <f>+'Ex. 1 Calcs - County'!G6</f>
        <v>2039044</v>
      </c>
      <c r="F8" s="393"/>
      <c r="G8" s="404" t="str">
        <f>+C10</f>
        <v>Other financing source</v>
      </c>
      <c r="H8" s="404"/>
      <c r="I8" s="409">
        <f>+E10</f>
        <v>1799044</v>
      </c>
      <c r="J8" s="409"/>
      <c r="K8" s="393"/>
      <c r="L8" s="404" t="str">
        <f>+G9</f>
        <v>Lease asset</v>
      </c>
      <c r="M8" s="404"/>
      <c r="N8" s="409">
        <f>+I9</f>
        <v>2039044</v>
      </c>
      <c r="O8" s="409"/>
      <c r="P8" s="393"/>
    </row>
    <row r="9" spans="1:16" ht="14.65" customHeight="1" x14ac:dyDescent="0.25">
      <c r="A9" s="400"/>
      <c r="B9" s="493" t="s">
        <v>163</v>
      </c>
      <c r="D9" s="388">
        <f>ROUND(+'Ex. 1 Calcs - County'!L16,0)</f>
        <v>17000</v>
      </c>
      <c r="F9" s="393"/>
      <c r="G9" s="389" t="s">
        <v>55</v>
      </c>
      <c r="I9" s="409">
        <f>+J11</f>
        <v>2039044</v>
      </c>
      <c r="J9" s="389"/>
      <c r="K9" s="393"/>
      <c r="L9" s="404" t="str">
        <f>+B9</f>
        <v>Prepaid rent</v>
      </c>
      <c r="M9" s="404"/>
      <c r="N9" s="409">
        <f>+D9</f>
        <v>17000</v>
      </c>
      <c r="O9" s="409"/>
      <c r="P9" s="393"/>
    </row>
    <row r="10" spans="1:16" ht="14.65" customHeight="1" x14ac:dyDescent="0.25">
      <c r="A10" s="391"/>
      <c r="C10" s="389" t="s">
        <v>79</v>
      </c>
      <c r="E10" s="388">
        <f>ROUND(+'Ex. 1 Calcs - County'!G4,0)</f>
        <v>1799044</v>
      </c>
      <c r="F10" s="393"/>
      <c r="G10" s="404"/>
      <c r="H10" s="404" t="s">
        <v>71</v>
      </c>
      <c r="I10" s="409"/>
      <c r="J10" s="409">
        <f>+E10</f>
        <v>1799044</v>
      </c>
      <c r="K10" s="393"/>
      <c r="L10" s="404"/>
      <c r="M10" s="404" t="str">
        <f>+H10</f>
        <v>Lease liability</v>
      </c>
      <c r="N10" s="409"/>
      <c r="O10" s="409">
        <f>+J10</f>
        <v>1799044</v>
      </c>
      <c r="P10" s="393"/>
    </row>
    <row r="11" spans="1:16" x14ac:dyDescent="0.25">
      <c r="A11" s="391"/>
      <c r="C11" s="389" t="s">
        <v>2</v>
      </c>
      <c r="E11" s="409">
        <f>ROUND(+'Ex. 1 Calcs - County'!K16,0)</f>
        <v>257000</v>
      </c>
      <c r="F11" s="393"/>
      <c r="H11" s="389" t="str">
        <f>+B8</f>
        <v>Capital outlay</v>
      </c>
      <c r="J11" s="388">
        <f>+D8</f>
        <v>2039044</v>
      </c>
      <c r="L11" s="405"/>
      <c r="M11" s="404" t="str">
        <f>+C11</f>
        <v>Cash</v>
      </c>
      <c r="N11" s="409"/>
      <c r="O11" s="409">
        <f>+E11</f>
        <v>257000</v>
      </c>
      <c r="P11" s="393"/>
    </row>
    <row r="12" spans="1:16" x14ac:dyDescent="0.25">
      <c r="A12" s="391"/>
      <c r="B12" s="405" t="s">
        <v>69</v>
      </c>
      <c r="F12" s="393"/>
      <c r="G12" s="405" t="str">
        <f>+B12</f>
        <v>[To record inception of lease with Example ISD and</v>
      </c>
      <c r="I12" s="424"/>
      <c r="K12" s="393"/>
      <c r="L12" s="405" t="str">
        <f>G12</f>
        <v>[To record inception of lease with Example ISD and</v>
      </c>
      <c r="N12" s="409"/>
      <c r="O12" s="409"/>
      <c r="P12" s="393"/>
    </row>
    <row r="13" spans="1:16" ht="15" customHeight="1" x14ac:dyDescent="0.25">
      <c r="A13" s="391"/>
      <c r="B13" s="405" t="s">
        <v>650</v>
      </c>
      <c r="C13" s="404"/>
      <c r="D13" s="409"/>
      <c r="E13" s="409"/>
      <c r="F13" s="393"/>
      <c r="G13" s="405" t="str">
        <f>+B13</f>
        <v>payment of first and final year base rent payments]</v>
      </c>
      <c r="H13" s="405"/>
      <c r="I13" s="409"/>
      <c r="J13" s="409"/>
      <c r="K13" s="393"/>
      <c r="L13" s="405" t="str">
        <f>G13</f>
        <v>payment of first and final year base rent payments]</v>
      </c>
      <c r="M13" s="405"/>
      <c r="N13" s="409"/>
      <c r="O13" s="409"/>
      <c r="P13" s="393"/>
    </row>
    <row r="14" spans="1:16" x14ac:dyDescent="0.25">
      <c r="A14" s="391"/>
      <c r="I14" s="389"/>
      <c r="J14" s="389"/>
      <c r="K14" s="393"/>
      <c r="L14" s="404"/>
      <c r="M14" s="404"/>
      <c r="N14" s="409"/>
      <c r="O14" s="409"/>
      <c r="P14" s="393"/>
    </row>
    <row r="15" spans="1:16" x14ac:dyDescent="0.25">
      <c r="A15" s="391"/>
      <c r="C15" s="404"/>
      <c r="D15" s="409"/>
      <c r="E15" s="409"/>
      <c r="F15" s="393"/>
      <c r="G15" s="404"/>
      <c r="H15" s="404"/>
      <c r="I15" s="409"/>
      <c r="J15" s="409"/>
      <c r="K15" s="393"/>
      <c r="N15" s="409"/>
      <c r="O15" s="409"/>
      <c r="P15" s="393"/>
    </row>
    <row r="16" spans="1:16" x14ac:dyDescent="0.25">
      <c r="A16" s="400" t="s">
        <v>52</v>
      </c>
      <c r="B16" s="389" t="s">
        <v>164</v>
      </c>
      <c r="C16" s="404"/>
      <c r="D16" s="388">
        <f>+E17</f>
        <v>17000</v>
      </c>
      <c r="F16" s="393"/>
      <c r="G16" s="493" t="s">
        <v>632</v>
      </c>
      <c r="H16" s="484"/>
      <c r="I16" s="409">
        <f>ROUND(+'Ex. 1 Calcs - County'!O16,0)</f>
        <v>101952</v>
      </c>
      <c r="J16" s="409"/>
      <c r="K16" s="393"/>
      <c r="L16" s="404" t="s">
        <v>75</v>
      </c>
      <c r="M16" s="404"/>
      <c r="N16" s="409">
        <f>+D16</f>
        <v>17000</v>
      </c>
      <c r="P16" s="393"/>
    </row>
    <row r="17" spans="1:17" x14ac:dyDescent="0.25">
      <c r="A17" s="391"/>
      <c r="C17" s="389" t="str">
        <f>+B9</f>
        <v>Prepaid rent</v>
      </c>
      <c r="E17" s="388">
        <f>+D9</f>
        <v>17000</v>
      </c>
      <c r="F17" s="393"/>
      <c r="G17" s="397"/>
      <c r="H17" s="404" t="s">
        <v>630</v>
      </c>
      <c r="I17" s="409"/>
      <c r="J17" s="409">
        <f>+I16</f>
        <v>101952</v>
      </c>
      <c r="K17" s="393"/>
      <c r="L17" s="389" t="s">
        <v>632</v>
      </c>
      <c r="N17" s="388">
        <f>+I16</f>
        <v>101952</v>
      </c>
      <c r="O17" s="409"/>
      <c r="P17" s="393"/>
    </row>
    <row r="18" spans="1:17" ht="14.65" customHeight="1" x14ac:dyDescent="0.25">
      <c r="A18" s="391"/>
      <c r="B18" s="405" t="s">
        <v>651</v>
      </c>
      <c r="F18" s="393"/>
      <c r="G18" s="405" t="s">
        <v>652</v>
      </c>
      <c r="H18" s="404"/>
      <c r="I18" s="409"/>
      <c r="J18" s="409"/>
      <c r="K18" s="393"/>
      <c r="L18" s="397"/>
      <c r="M18" s="404" t="str">
        <f>+H17</f>
        <v>Accumulated amortization - lease asset</v>
      </c>
      <c r="N18" s="409"/>
      <c r="O18" s="409">
        <f>+J17</f>
        <v>101952</v>
      </c>
      <c r="P18" s="393"/>
    </row>
    <row r="19" spans="1:17" ht="14.65" customHeight="1" x14ac:dyDescent="0.25">
      <c r="A19" s="391"/>
      <c r="B19" s="405"/>
      <c r="F19" s="393"/>
      <c r="G19" s="405"/>
      <c r="H19" s="404"/>
      <c r="I19" s="409"/>
      <c r="J19" s="409"/>
      <c r="K19" s="393"/>
      <c r="M19" s="404" t="str">
        <f>+C17</f>
        <v>Prepaid rent</v>
      </c>
      <c r="N19" s="409"/>
      <c r="O19" s="409">
        <f>+E17</f>
        <v>17000</v>
      </c>
      <c r="P19" s="393"/>
    </row>
    <row r="20" spans="1:17" ht="14.65" customHeight="1" x14ac:dyDescent="0.25">
      <c r="A20" s="391"/>
      <c r="B20" s="405"/>
      <c r="C20" s="405"/>
      <c r="D20" s="500"/>
      <c r="E20" s="409"/>
      <c r="F20" s="393"/>
      <c r="G20" s="404"/>
      <c r="H20" s="404"/>
      <c r="I20" s="404"/>
      <c r="J20" s="409"/>
      <c r="K20" s="393"/>
      <c r="L20" s="405" t="s">
        <v>72</v>
      </c>
      <c r="M20" s="404"/>
      <c r="N20" s="409"/>
      <c r="O20" s="409"/>
      <c r="P20" s="393"/>
    </row>
    <row r="21" spans="1:17" ht="14.65" customHeight="1" x14ac:dyDescent="0.25">
      <c r="A21" s="391"/>
      <c r="B21" s="405"/>
      <c r="C21" s="405"/>
      <c r="D21" s="500"/>
      <c r="E21" s="409"/>
      <c r="F21" s="393"/>
      <c r="G21" s="404"/>
      <c r="H21" s="404"/>
      <c r="I21" s="404"/>
      <c r="J21" s="409"/>
      <c r="K21" s="393"/>
      <c r="L21" s="405" t="s">
        <v>653</v>
      </c>
      <c r="M21" s="404"/>
      <c r="N21" s="409"/>
      <c r="O21" s="409"/>
      <c r="P21" s="393"/>
      <c r="Q21" s="389" t="s">
        <v>649</v>
      </c>
    </row>
    <row r="22" spans="1:17" ht="14.65" customHeight="1" x14ac:dyDescent="0.25">
      <c r="A22" s="391"/>
      <c r="B22" s="405"/>
      <c r="C22" s="405"/>
      <c r="D22" s="500"/>
      <c r="E22" s="409"/>
      <c r="F22" s="393"/>
      <c r="G22" s="404"/>
      <c r="H22" s="404"/>
      <c r="I22" s="404"/>
      <c r="J22" s="409"/>
      <c r="K22" s="393"/>
      <c r="L22" s="405"/>
      <c r="M22" s="404"/>
      <c r="N22" s="409"/>
      <c r="O22" s="409"/>
      <c r="P22" s="393"/>
    </row>
    <row r="23" spans="1:17" ht="14.65" customHeight="1" x14ac:dyDescent="0.25">
      <c r="A23" s="391"/>
      <c r="B23" s="405"/>
      <c r="C23" s="405"/>
      <c r="D23" s="409"/>
      <c r="E23" s="409"/>
      <c r="F23" s="393"/>
      <c r="G23" s="501"/>
      <c r="H23" s="501"/>
      <c r="I23" s="409"/>
      <c r="J23" s="409"/>
      <c r="K23" s="393"/>
      <c r="L23" s="397"/>
      <c r="M23" s="404"/>
      <c r="N23" s="409"/>
      <c r="O23" s="409"/>
      <c r="P23" s="393"/>
    </row>
    <row r="24" spans="1:17" x14ac:dyDescent="0.25">
      <c r="A24" s="400" t="s">
        <v>53</v>
      </c>
      <c r="B24" s="397"/>
      <c r="C24" s="404" t="s">
        <v>36</v>
      </c>
      <c r="D24" s="409"/>
      <c r="E24" s="409"/>
      <c r="F24" s="393"/>
      <c r="G24" s="404" t="s">
        <v>3</v>
      </c>
      <c r="H24" s="404"/>
      <c r="I24" s="409">
        <f>+J25</f>
        <v>35981</v>
      </c>
      <c r="J24" s="409"/>
      <c r="K24" s="393"/>
      <c r="L24" s="404" t="str">
        <f t="shared" ref="L24" si="0">G24</f>
        <v>Interest expense</v>
      </c>
      <c r="M24" s="404"/>
      <c r="N24" s="388">
        <f t="shared" ref="N24" si="1">I24</f>
        <v>35981</v>
      </c>
      <c r="P24" s="393"/>
    </row>
    <row r="25" spans="1:17" x14ac:dyDescent="0.25">
      <c r="A25" s="391"/>
      <c r="B25" s="404"/>
      <c r="C25" s="404"/>
      <c r="D25" s="409"/>
      <c r="E25" s="409"/>
      <c r="F25" s="393"/>
      <c r="G25" s="405"/>
      <c r="H25" s="404" t="s">
        <v>28</v>
      </c>
      <c r="I25" s="409"/>
      <c r="J25" s="409">
        <f>ROUND(+'Ex. 1 Calcs - County'!D17,0)</f>
        <v>35981</v>
      </c>
      <c r="K25" s="393"/>
      <c r="L25" s="405"/>
      <c r="M25" s="404" t="str">
        <f t="shared" ref="M25" si="2">H25</f>
        <v>Interest payable</v>
      </c>
      <c r="O25" s="388">
        <f t="shared" ref="O25" si="3">J25</f>
        <v>35981</v>
      </c>
      <c r="P25" s="393"/>
    </row>
    <row r="26" spans="1:17" x14ac:dyDescent="0.25">
      <c r="A26" s="391"/>
      <c r="B26" s="404"/>
      <c r="C26" s="404"/>
      <c r="D26" s="409"/>
      <c r="E26" s="409"/>
      <c r="F26" s="393"/>
      <c r="G26" s="405" t="s">
        <v>732</v>
      </c>
      <c r="H26" s="404"/>
      <c r="I26" s="409"/>
      <c r="J26" s="409"/>
      <c r="K26" s="393"/>
      <c r="L26" s="405" t="str">
        <f t="shared" ref="L26:L27" si="4">G26</f>
        <v xml:space="preserve">[To record accrual of interest payable for 7/1/12 – 6/30/13 </v>
      </c>
      <c r="M26" s="404"/>
      <c r="P26" s="393"/>
    </row>
    <row r="27" spans="1:17" x14ac:dyDescent="0.25">
      <c r="A27" s="391"/>
      <c r="C27" s="404"/>
      <c r="D27" s="409"/>
      <c r="E27" s="409"/>
      <c r="F27" s="393"/>
      <c r="G27" s="405" t="s">
        <v>658</v>
      </c>
      <c r="H27" s="404"/>
      <c r="I27" s="409"/>
      <c r="J27" s="409"/>
      <c r="K27" s="393"/>
      <c r="L27" s="405" t="str">
        <f t="shared" si="4"/>
        <v>that will be paid on 7/1/13]</v>
      </c>
      <c r="M27" s="404"/>
      <c r="N27" s="409"/>
      <c r="O27" s="409"/>
      <c r="P27" s="393"/>
    </row>
    <row r="28" spans="1:17" x14ac:dyDescent="0.25">
      <c r="A28" s="391"/>
      <c r="C28" s="404"/>
      <c r="D28" s="389"/>
      <c r="E28" s="409"/>
      <c r="F28" s="393"/>
      <c r="G28" s="404"/>
      <c r="H28" s="404"/>
      <c r="I28" s="409"/>
      <c r="J28" s="409"/>
      <c r="K28" s="393"/>
      <c r="L28" s="404"/>
      <c r="M28" s="404"/>
      <c r="N28" s="409"/>
      <c r="O28" s="409"/>
      <c r="P28" s="393"/>
    </row>
    <row r="29" spans="1:17" x14ac:dyDescent="0.25">
      <c r="A29" s="398" t="s">
        <v>59</v>
      </c>
      <c r="C29" s="404"/>
      <c r="D29" s="409"/>
      <c r="E29" s="409"/>
      <c r="F29" s="393"/>
      <c r="G29" s="404"/>
      <c r="H29" s="404"/>
      <c r="I29" s="409"/>
      <c r="J29" s="409"/>
      <c r="K29" s="393"/>
      <c r="L29" s="404"/>
      <c r="M29" s="404"/>
      <c r="N29" s="409"/>
      <c r="O29" s="409"/>
      <c r="P29" s="393"/>
    </row>
    <row r="30" spans="1:17" ht="14.65" customHeight="1" x14ac:dyDescent="0.25">
      <c r="A30" s="400">
        <v>41456</v>
      </c>
      <c r="B30" s="404" t="s">
        <v>80</v>
      </c>
      <c r="C30" s="405"/>
      <c r="D30" s="409">
        <f>ROUND(+'Ex. 1 Calcs - County'!E17,0)</f>
        <v>84019</v>
      </c>
      <c r="E30" s="409"/>
      <c r="F30" s="393"/>
      <c r="G30" s="389" t="str">
        <f>+H10</f>
        <v>Lease liability</v>
      </c>
      <c r="I30" s="402">
        <f>+J33</f>
        <v>84019</v>
      </c>
      <c r="J30" s="389"/>
      <c r="K30" s="393"/>
      <c r="L30" s="404" t="str">
        <f>+G30</f>
        <v>Lease liability</v>
      </c>
      <c r="M30" s="404"/>
      <c r="N30" s="409">
        <f>+I30</f>
        <v>84019</v>
      </c>
      <c r="O30" s="409"/>
      <c r="P30" s="393"/>
    </row>
    <row r="31" spans="1:17" ht="14.65" customHeight="1" x14ac:dyDescent="0.25">
      <c r="A31" s="391"/>
      <c r="B31" s="404" t="s">
        <v>81</v>
      </c>
      <c r="C31" s="404"/>
      <c r="D31" s="409">
        <f>ROUND('Ex. 1 Calcs - County'!D17,0)</f>
        <v>35981</v>
      </c>
      <c r="E31" s="389"/>
      <c r="F31" s="393"/>
      <c r="G31" s="493" t="str">
        <f>+H25</f>
        <v>Interest payable</v>
      </c>
      <c r="H31" s="404"/>
      <c r="I31" s="409">
        <f>+J25</f>
        <v>35981</v>
      </c>
      <c r="J31" s="409"/>
      <c r="K31" s="393"/>
      <c r="L31" s="404" t="str">
        <f>+G31</f>
        <v>Interest payable</v>
      </c>
      <c r="M31" s="404"/>
      <c r="N31" s="409">
        <f>+I31</f>
        <v>35981</v>
      </c>
      <c r="O31" s="409"/>
      <c r="P31" s="393"/>
    </row>
    <row r="32" spans="1:17" ht="14.65" customHeight="1" x14ac:dyDescent="0.25">
      <c r="A32" s="391"/>
      <c r="B32" s="493" t="str">
        <f>+B9</f>
        <v>Prepaid rent</v>
      </c>
      <c r="C32" s="493"/>
      <c r="D32" s="409">
        <f>ROUND(+'Ex. 1 Calcs - County'!L17,0)</f>
        <v>23500</v>
      </c>
      <c r="E32" s="409"/>
      <c r="F32" s="393"/>
      <c r="G32" s="493"/>
      <c r="H32" s="493" t="str">
        <f>+B31</f>
        <v>Debt service expenditure - interest</v>
      </c>
      <c r="I32" s="409"/>
      <c r="J32" s="409">
        <f>+I24</f>
        <v>35981</v>
      </c>
      <c r="K32" s="393"/>
      <c r="L32" s="404" t="str">
        <f>+B32</f>
        <v>Prepaid rent</v>
      </c>
      <c r="N32" s="409">
        <f>+D32</f>
        <v>23500</v>
      </c>
      <c r="O32" s="389"/>
      <c r="P32" s="393"/>
    </row>
    <row r="33" spans="1:84" ht="14.65" customHeight="1" x14ac:dyDescent="0.25">
      <c r="A33" s="391"/>
      <c r="B33" s="484"/>
      <c r="C33" s="493" t="s">
        <v>2</v>
      </c>
      <c r="D33" s="409"/>
      <c r="E33" s="409">
        <f>+'Ex. 1 Calcs - County'!K17</f>
        <v>143500</v>
      </c>
      <c r="F33" s="393"/>
      <c r="H33" s="493" t="str">
        <f>+B30</f>
        <v>Debt service expenditure - principal</v>
      </c>
      <c r="I33" s="409"/>
      <c r="J33" s="409">
        <f>+D30</f>
        <v>84019</v>
      </c>
      <c r="K33" s="393"/>
      <c r="L33" s="397"/>
      <c r="M33" s="389" t="str">
        <f>+C33</f>
        <v>Cash</v>
      </c>
      <c r="N33" s="389"/>
      <c r="O33" s="402">
        <f>+E33</f>
        <v>143500</v>
      </c>
      <c r="P33" s="393"/>
    </row>
    <row r="34" spans="1:84" ht="14.65" customHeight="1" x14ac:dyDescent="0.25">
      <c r="A34" s="391"/>
      <c r="B34" s="405" t="s">
        <v>82</v>
      </c>
      <c r="C34" s="405"/>
      <c r="D34" s="409"/>
      <c r="E34" s="409"/>
      <c r="F34" s="393"/>
      <c r="G34" s="484" t="s">
        <v>821</v>
      </c>
      <c r="H34" s="493"/>
      <c r="I34" s="409"/>
      <c r="J34" s="409"/>
      <c r="K34" s="393"/>
      <c r="L34" s="405" t="str">
        <f>B34</f>
        <v>[To record rental payment to lessor based on actual</v>
      </c>
      <c r="M34" s="404"/>
      <c r="N34" s="409"/>
      <c r="O34" s="409"/>
      <c r="P34" s="393"/>
    </row>
    <row r="35" spans="1:84" ht="14.25" customHeight="1" x14ac:dyDescent="0.25">
      <c r="A35" s="391"/>
      <c r="B35" s="405" t="s">
        <v>83</v>
      </c>
      <c r="C35" s="404"/>
      <c r="D35" s="409"/>
      <c r="E35" s="409"/>
      <c r="F35" s="393"/>
      <c r="G35" s="404" t="s">
        <v>654</v>
      </c>
      <c r="H35" s="404"/>
      <c r="I35" s="409"/>
      <c r="J35" s="409"/>
      <c r="K35" s="393"/>
      <c r="L35" s="406" t="str">
        <f>B35</f>
        <v>CY 2012 CPPI of 5%]</v>
      </c>
      <c r="M35" s="404"/>
      <c r="N35" s="409"/>
      <c r="O35" s="409"/>
      <c r="P35" s="393"/>
    </row>
    <row r="36" spans="1:84" ht="14.25" customHeight="1" x14ac:dyDescent="0.25">
      <c r="A36" s="391"/>
      <c r="B36" s="404"/>
      <c r="C36" s="404"/>
      <c r="D36" s="409"/>
      <c r="E36" s="409"/>
      <c r="F36" s="393"/>
      <c r="G36" s="404"/>
      <c r="H36" s="404"/>
      <c r="I36" s="409"/>
      <c r="J36" s="409"/>
      <c r="K36" s="393"/>
      <c r="M36" s="404"/>
      <c r="N36" s="409"/>
      <c r="O36" s="409"/>
      <c r="P36" s="393"/>
    </row>
    <row r="37" spans="1:84" ht="14.65" customHeight="1" x14ac:dyDescent="0.25">
      <c r="A37" s="391"/>
      <c r="B37" s="397"/>
      <c r="C37" s="404"/>
      <c r="D37" s="409"/>
      <c r="E37" s="409"/>
      <c r="F37" s="393"/>
      <c r="G37" s="404"/>
      <c r="H37" s="404"/>
      <c r="I37" s="409"/>
      <c r="J37" s="409"/>
      <c r="K37" s="393"/>
      <c r="L37" s="397"/>
      <c r="M37" s="404"/>
      <c r="N37" s="409"/>
      <c r="O37" s="409"/>
      <c r="P37" s="393"/>
    </row>
    <row r="38" spans="1:84" ht="14.65" customHeight="1" x14ac:dyDescent="0.25">
      <c r="A38" s="400" t="s">
        <v>61</v>
      </c>
      <c r="B38" s="389" t="s">
        <v>164</v>
      </c>
      <c r="C38" s="404"/>
      <c r="D38" s="388">
        <f>+E39</f>
        <v>23500</v>
      </c>
      <c r="F38" s="393"/>
      <c r="G38" s="493" t="str">
        <f>+G16</f>
        <v>Amortization expense</v>
      </c>
      <c r="H38" s="484"/>
      <c r="I38" s="409">
        <f>ROUND(+'Ex. 1 Calcs - County'!O17,0)</f>
        <v>101952</v>
      </c>
      <c r="J38" s="409"/>
      <c r="K38" s="393"/>
      <c r="L38" s="404" t="s">
        <v>75</v>
      </c>
      <c r="N38" s="402">
        <f>+D38</f>
        <v>23500</v>
      </c>
      <c r="O38" s="389"/>
      <c r="P38" s="393"/>
    </row>
    <row r="39" spans="1:84" ht="14.65" customHeight="1" x14ac:dyDescent="0.25">
      <c r="A39" s="391"/>
      <c r="C39" s="389" t="str">
        <f>+C17</f>
        <v>Prepaid rent</v>
      </c>
      <c r="E39" s="388">
        <f>+D32</f>
        <v>23500</v>
      </c>
      <c r="F39" s="393"/>
      <c r="G39" s="397"/>
      <c r="H39" s="404" t="str">
        <f>+H17</f>
        <v>Accumulated amortization - lease asset</v>
      </c>
      <c r="I39" s="409"/>
      <c r="J39" s="409">
        <f>+I38</f>
        <v>101952</v>
      </c>
      <c r="K39" s="393"/>
      <c r="L39" s="389" t="s">
        <v>632</v>
      </c>
      <c r="M39" s="404"/>
      <c r="N39" s="409">
        <f>+I38</f>
        <v>101952</v>
      </c>
      <c r="O39" s="409"/>
      <c r="P39" s="393"/>
    </row>
    <row r="40" spans="1:84" ht="14.65" customHeight="1" x14ac:dyDescent="0.25">
      <c r="A40" s="391"/>
      <c r="B40" s="405" t="s">
        <v>651</v>
      </c>
      <c r="F40" s="393"/>
      <c r="G40" s="405" t="s">
        <v>652</v>
      </c>
      <c r="H40" s="404"/>
      <c r="I40" s="409"/>
      <c r="J40" s="409"/>
      <c r="K40" s="393"/>
      <c r="L40" s="397"/>
      <c r="M40" s="404" t="str">
        <f>+H39</f>
        <v>Accumulated amortization - lease asset</v>
      </c>
      <c r="N40" s="409"/>
      <c r="O40" s="409">
        <f>+J39</f>
        <v>101952</v>
      </c>
      <c r="P40" s="393"/>
    </row>
    <row r="41" spans="1:84" ht="14.65" customHeight="1" x14ac:dyDescent="0.25">
      <c r="A41" s="391"/>
      <c r="F41" s="393"/>
      <c r="G41" s="405"/>
      <c r="H41" s="404"/>
      <c r="I41" s="409"/>
      <c r="J41" s="409"/>
      <c r="K41" s="393"/>
      <c r="M41" s="404" t="str">
        <f>+C39</f>
        <v>Prepaid rent</v>
      </c>
      <c r="N41" s="409"/>
      <c r="O41" s="409">
        <f>+E39</f>
        <v>23500</v>
      </c>
      <c r="P41" s="393"/>
    </row>
    <row r="42" spans="1:84" ht="14.65" customHeight="1" x14ac:dyDescent="0.25">
      <c r="A42" s="502"/>
      <c r="B42" s="405"/>
      <c r="C42" s="405"/>
      <c r="D42" s="500"/>
      <c r="E42" s="409"/>
      <c r="F42" s="393"/>
      <c r="G42" s="404"/>
      <c r="H42" s="404"/>
      <c r="I42" s="404"/>
      <c r="J42" s="409"/>
      <c r="K42" s="393"/>
      <c r="L42" s="405" t="s">
        <v>861</v>
      </c>
      <c r="M42" s="404"/>
      <c r="N42" s="409"/>
      <c r="O42" s="409"/>
      <c r="P42" s="393"/>
    </row>
    <row r="43" spans="1:84" ht="14.65" customHeight="1" x14ac:dyDescent="0.25">
      <c r="A43" s="502"/>
      <c r="B43" s="405"/>
      <c r="C43" s="405"/>
      <c r="D43" s="500"/>
      <c r="E43" s="409"/>
      <c r="F43" s="393"/>
      <c r="G43" s="404"/>
      <c r="H43" s="404"/>
      <c r="I43" s="404"/>
      <c r="J43" s="409"/>
      <c r="K43" s="393"/>
      <c r="L43" s="405"/>
      <c r="M43" s="404"/>
      <c r="N43" s="409"/>
      <c r="O43" s="409"/>
      <c r="P43" s="393"/>
    </row>
    <row r="44" spans="1:84" ht="14.65" customHeight="1" x14ac:dyDescent="0.25">
      <c r="A44" s="502"/>
      <c r="B44" s="405"/>
      <c r="C44" s="405"/>
      <c r="D44" s="500"/>
      <c r="E44" s="409"/>
      <c r="F44" s="393"/>
      <c r="G44" s="404"/>
      <c r="H44" s="404"/>
      <c r="I44" s="404"/>
      <c r="J44" s="409"/>
      <c r="K44" s="393"/>
      <c r="L44" s="405"/>
      <c r="M44" s="404"/>
      <c r="N44" s="409"/>
      <c r="O44" s="409"/>
      <c r="P44" s="393"/>
    </row>
    <row r="45" spans="1:84" ht="14.65" customHeight="1" x14ac:dyDescent="0.25">
      <c r="A45" s="391"/>
      <c r="B45" s="405"/>
      <c r="C45" s="405"/>
      <c r="D45" s="409"/>
      <c r="E45" s="409"/>
      <c r="F45" s="393"/>
      <c r="G45" s="501"/>
      <c r="H45" s="501"/>
      <c r="I45" s="409"/>
      <c r="J45" s="409"/>
      <c r="K45" s="393"/>
      <c r="L45" s="397"/>
      <c r="M45" s="404"/>
      <c r="N45" s="409"/>
      <c r="O45" s="409"/>
      <c r="P45" s="393"/>
      <c r="Q45" s="415"/>
      <c r="R45" s="415"/>
      <c r="S45" s="415"/>
      <c r="T45" s="415"/>
      <c r="U45" s="415"/>
      <c r="V45" s="415"/>
      <c r="W45" s="415"/>
      <c r="X45" s="415"/>
      <c r="Y45" s="415"/>
      <c r="Z45" s="415"/>
      <c r="AA45" s="415"/>
      <c r="AB45" s="415"/>
      <c r="AC45" s="415"/>
      <c r="AD45" s="415"/>
      <c r="AE45" s="415"/>
      <c r="AF45" s="415"/>
      <c r="AG45" s="415"/>
      <c r="AH45" s="415"/>
      <c r="AI45" s="415"/>
      <c r="AJ45" s="415"/>
      <c r="AK45" s="415"/>
      <c r="AL45" s="415"/>
      <c r="AM45" s="415"/>
      <c r="AN45" s="415"/>
      <c r="AO45" s="415"/>
      <c r="AP45" s="415"/>
      <c r="AQ45" s="415"/>
      <c r="AR45" s="415"/>
      <c r="AS45" s="415"/>
      <c r="AT45" s="415"/>
      <c r="AU45" s="415"/>
      <c r="AV45" s="415"/>
      <c r="AW45" s="415"/>
      <c r="AX45" s="415"/>
      <c r="AY45" s="415"/>
      <c r="AZ45" s="415"/>
      <c r="BA45" s="415"/>
      <c r="BB45" s="415"/>
      <c r="BC45" s="415"/>
      <c r="BD45" s="415"/>
      <c r="BE45" s="415"/>
      <c r="BF45" s="415"/>
      <c r="BG45" s="415"/>
      <c r="BH45" s="415"/>
      <c r="BI45" s="415"/>
      <c r="BJ45" s="415"/>
      <c r="BK45" s="415"/>
      <c r="BL45" s="415"/>
      <c r="BM45" s="415"/>
      <c r="BN45" s="415"/>
      <c r="BO45" s="415"/>
      <c r="BP45" s="415"/>
      <c r="BQ45" s="415"/>
      <c r="BR45" s="415"/>
      <c r="BS45" s="415"/>
      <c r="BT45" s="415"/>
      <c r="BU45" s="415"/>
      <c r="BV45" s="415"/>
      <c r="BW45" s="415"/>
      <c r="BX45" s="415"/>
      <c r="BY45" s="415"/>
      <c r="BZ45" s="415"/>
      <c r="CA45" s="415"/>
      <c r="CB45" s="415"/>
      <c r="CC45" s="415"/>
      <c r="CD45" s="415"/>
      <c r="CE45" s="415"/>
      <c r="CF45" s="503"/>
    </row>
    <row r="46" spans="1:84" ht="14.65" customHeight="1" x14ac:dyDescent="0.25">
      <c r="A46" s="400" t="s">
        <v>62</v>
      </c>
      <c r="B46" s="397"/>
      <c r="C46" s="404" t="s">
        <v>36</v>
      </c>
      <c r="D46" s="409"/>
      <c r="E46" s="409"/>
      <c r="F46" s="393"/>
      <c r="G46" s="404" t="s">
        <v>3</v>
      </c>
      <c r="H46" s="404"/>
      <c r="I46" s="409">
        <f>ROUND(+'Ex. 1 Calcs - County'!D18,0)</f>
        <v>34301</v>
      </c>
      <c r="J46" s="409"/>
      <c r="K46" s="393"/>
      <c r="L46" s="404" t="str">
        <f t="shared" ref="L46" si="5">G46</f>
        <v>Interest expense</v>
      </c>
      <c r="M46" s="404"/>
      <c r="N46" s="409">
        <f>+I46</f>
        <v>34301</v>
      </c>
      <c r="O46" s="409"/>
      <c r="P46" s="393"/>
    </row>
    <row r="47" spans="1:84" ht="14.65" customHeight="1" x14ac:dyDescent="0.25">
      <c r="A47" s="485"/>
      <c r="B47" s="404"/>
      <c r="C47" s="404"/>
      <c r="D47" s="409"/>
      <c r="E47" s="409"/>
      <c r="F47" s="393"/>
      <c r="G47" s="405"/>
      <c r="H47" s="404" t="s">
        <v>28</v>
      </c>
      <c r="I47" s="409"/>
      <c r="J47" s="409">
        <f>+I46</f>
        <v>34301</v>
      </c>
      <c r="K47" s="393"/>
      <c r="L47" s="405"/>
      <c r="M47" s="404" t="str">
        <f t="shared" ref="M47" si="6">H47</f>
        <v>Interest payable</v>
      </c>
      <c r="N47" s="409"/>
      <c r="O47" s="409">
        <f>+J47</f>
        <v>34301</v>
      </c>
      <c r="P47" s="393"/>
    </row>
    <row r="48" spans="1:84" ht="14.65" customHeight="1" x14ac:dyDescent="0.25">
      <c r="A48" s="391"/>
      <c r="B48" s="404"/>
      <c r="C48" s="404"/>
      <c r="D48" s="409"/>
      <c r="E48" s="409"/>
      <c r="F48" s="393"/>
      <c r="G48" s="405" t="s">
        <v>733</v>
      </c>
      <c r="H48" s="404"/>
      <c r="I48" s="409"/>
      <c r="J48" s="409"/>
      <c r="K48" s="393"/>
      <c r="L48" s="405" t="str">
        <f t="shared" ref="L48:L49" si="7">G48</f>
        <v xml:space="preserve">[To record accrual of interest payable for 7/1/13 – 6/30/14 </v>
      </c>
      <c r="M48" s="404"/>
      <c r="N48" s="409"/>
      <c r="O48" s="409"/>
      <c r="P48" s="393"/>
    </row>
    <row r="49" spans="1:16" x14ac:dyDescent="0.25">
      <c r="A49" s="391"/>
      <c r="B49" s="404"/>
      <c r="C49" s="404"/>
      <c r="D49" s="409"/>
      <c r="E49" s="409"/>
      <c r="F49" s="393"/>
      <c r="G49" s="405" t="s">
        <v>657</v>
      </c>
      <c r="H49" s="404"/>
      <c r="I49" s="409"/>
      <c r="J49" s="409"/>
      <c r="K49" s="393"/>
      <c r="L49" s="405" t="str">
        <f t="shared" si="7"/>
        <v>that will be paid on 7/1/14]</v>
      </c>
      <c r="M49" s="404"/>
      <c r="P49" s="393"/>
    </row>
    <row r="50" spans="1:16" x14ac:dyDescent="0.25">
      <c r="A50" s="391"/>
      <c r="B50" s="404"/>
      <c r="C50" s="404"/>
      <c r="D50" s="409"/>
      <c r="E50" s="409"/>
      <c r="F50" s="393"/>
      <c r="G50" s="405"/>
      <c r="H50" s="404"/>
      <c r="I50" s="409"/>
      <c r="J50" s="409"/>
      <c r="K50" s="393"/>
      <c r="L50" s="405"/>
      <c r="M50" s="404"/>
      <c r="P50" s="393"/>
    </row>
    <row r="51" spans="1:16" x14ac:dyDescent="0.25">
      <c r="A51" s="391"/>
      <c r="B51" s="404"/>
      <c r="C51" s="404"/>
      <c r="D51" s="409"/>
      <c r="E51" s="409"/>
      <c r="F51" s="393"/>
      <c r="G51" s="405"/>
      <c r="H51" s="404"/>
      <c r="I51" s="409"/>
      <c r="J51" s="409"/>
      <c r="K51" s="393"/>
      <c r="L51" s="405"/>
      <c r="M51" s="404"/>
      <c r="P51" s="393"/>
    </row>
    <row r="52" spans="1:16" x14ac:dyDescent="0.25">
      <c r="A52" s="398" t="s">
        <v>64</v>
      </c>
      <c r="C52" s="404"/>
      <c r="D52" s="409"/>
      <c r="E52" s="409"/>
      <c r="F52" s="393"/>
      <c r="G52" s="404"/>
      <c r="H52" s="404"/>
      <c r="I52" s="409"/>
      <c r="J52" s="409"/>
      <c r="K52" s="393"/>
      <c r="L52" s="404"/>
      <c r="M52" s="404"/>
      <c r="N52" s="409"/>
      <c r="O52" s="409"/>
      <c r="P52" s="393"/>
    </row>
    <row r="53" spans="1:16" ht="14.65" customHeight="1" x14ac:dyDescent="0.25">
      <c r="A53" s="400">
        <v>41821</v>
      </c>
      <c r="B53" s="404" t="s">
        <v>80</v>
      </c>
      <c r="C53" s="405"/>
      <c r="D53" s="409">
        <f>ROUND(+'Ex. 1 Calcs - County'!E18,0)</f>
        <v>85699</v>
      </c>
      <c r="E53" s="409"/>
      <c r="F53" s="393"/>
      <c r="G53" s="389" t="str">
        <f>+G30</f>
        <v>Lease liability</v>
      </c>
      <c r="I53" s="402">
        <f>+J56</f>
        <v>85699</v>
      </c>
      <c r="J53" s="389"/>
      <c r="K53" s="393"/>
      <c r="L53" s="404" t="str">
        <f>+G53</f>
        <v>Lease liability</v>
      </c>
      <c r="M53" s="404"/>
      <c r="N53" s="409">
        <f>+I53</f>
        <v>85699</v>
      </c>
      <c r="O53" s="409"/>
      <c r="P53" s="393"/>
    </row>
    <row r="54" spans="1:16" ht="14.65" customHeight="1" x14ac:dyDescent="0.25">
      <c r="A54" s="391"/>
      <c r="B54" s="404" t="s">
        <v>81</v>
      </c>
      <c r="C54" s="404"/>
      <c r="D54" s="409">
        <f>ROUND(+'Ex. 1 Calcs - County'!D18,0)</f>
        <v>34301</v>
      </c>
      <c r="E54" s="389"/>
      <c r="F54" s="393"/>
      <c r="G54" s="493" t="str">
        <f>+H47</f>
        <v>Interest payable</v>
      </c>
      <c r="H54" s="404"/>
      <c r="I54" s="409">
        <f>+J47</f>
        <v>34301</v>
      </c>
      <c r="J54" s="409"/>
      <c r="K54" s="393"/>
      <c r="L54" s="404" t="str">
        <f>+G54</f>
        <v>Interest payable</v>
      </c>
      <c r="M54" s="404"/>
      <c r="N54" s="409">
        <f>+I54</f>
        <v>34301</v>
      </c>
      <c r="O54" s="409"/>
      <c r="P54" s="393"/>
    </row>
    <row r="55" spans="1:16" ht="14.65" customHeight="1" x14ac:dyDescent="0.25">
      <c r="A55" s="391"/>
      <c r="B55" s="493" t="str">
        <f>+B32</f>
        <v>Prepaid rent</v>
      </c>
      <c r="D55" s="409">
        <f>ROUND(+'Ex. 1 Calcs - County'!L18,0)</f>
        <v>25260</v>
      </c>
      <c r="E55" s="389"/>
      <c r="F55" s="393"/>
      <c r="G55" s="493"/>
      <c r="H55" s="493" t="str">
        <f>+B54</f>
        <v>Debt service expenditure - interest</v>
      </c>
      <c r="I55" s="409"/>
      <c r="J55" s="409">
        <f>+I46</f>
        <v>34301</v>
      </c>
      <c r="K55" s="393"/>
      <c r="L55" s="404" t="str">
        <f>+B55</f>
        <v>Prepaid rent</v>
      </c>
      <c r="N55" s="409">
        <f>+D55</f>
        <v>25260</v>
      </c>
      <c r="O55" s="389"/>
      <c r="P55" s="393"/>
    </row>
    <row r="56" spans="1:16" ht="14.65" customHeight="1" x14ac:dyDescent="0.25">
      <c r="A56" s="391"/>
      <c r="B56" s="484"/>
      <c r="C56" s="493" t="s">
        <v>2</v>
      </c>
      <c r="D56" s="409"/>
      <c r="E56" s="409">
        <f>+'Ex. 1 Calcs - County'!K18</f>
        <v>145260</v>
      </c>
      <c r="F56" s="393"/>
      <c r="H56" s="493" t="str">
        <f>+B53</f>
        <v>Debt service expenditure - principal</v>
      </c>
      <c r="I56" s="409"/>
      <c r="J56" s="409">
        <f>+D53</f>
        <v>85699</v>
      </c>
      <c r="K56" s="393"/>
      <c r="L56" s="397"/>
      <c r="M56" s="389" t="str">
        <f>+C56</f>
        <v>Cash</v>
      </c>
      <c r="N56" s="389"/>
      <c r="O56" s="402">
        <f>+E56</f>
        <v>145260</v>
      </c>
      <c r="P56" s="393"/>
    </row>
    <row r="57" spans="1:16" ht="14.65" customHeight="1" x14ac:dyDescent="0.25">
      <c r="A57" s="391"/>
      <c r="B57" s="405" t="s">
        <v>82</v>
      </c>
      <c r="C57" s="405"/>
      <c r="D57" s="409"/>
      <c r="E57" s="409"/>
      <c r="F57" s="393"/>
      <c r="G57" s="484"/>
      <c r="H57" s="493"/>
      <c r="I57" s="409"/>
      <c r="J57" s="409"/>
      <c r="K57" s="393"/>
      <c r="L57" s="405" t="str">
        <f>B57</f>
        <v>[To record rental payment to lessor based on actual</v>
      </c>
      <c r="M57" s="404"/>
      <c r="N57" s="409"/>
      <c r="O57" s="409"/>
      <c r="P57" s="393"/>
    </row>
    <row r="58" spans="1:16" ht="14.25" customHeight="1" x14ac:dyDescent="0.25">
      <c r="A58" s="391"/>
      <c r="B58" s="405" t="s">
        <v>202</v>
      </c>
      <c r="C58" s="404"/>
      <c r="D58" s="409"/>
      <c r="E58" s="409"/>
      <c r="F58" s="393"/>
      <c r="G58" s="404"/>
      <c r="H58" s="404"/>
      <c r="I58" s="409"/>
      <c r="J58" s="409"/>
      <c r="K58" s="393"/>
      <c r="L58" s="406" t="str">
        <f>B58</f>
        <v>CY 2013 CPPI of 1%]</v>
      </c>
      <c r="M58" s="404"/>
      <c r="N58" s="409"/>
      <c r="O58" s="409"/>
      <c r="P58" s="393"/>
    </row>
    <row r="59" spans="1:16" ht="14.25" customHeight="1" x14ac:dyDescent="0.25">
      <c r="A59" s="391"/>
      <c r="B59" s="405"/>
      <c r="C59" s="404"/>
      <c r="D59" s="409"/>
      <c r="E59" s="409"/>
      <c r="F59" s="393"/>
      <c r="G59" s="404"/>
      <c r="H59" s="404"/>
      <c r="I59" s="409"/>
      <c r="J59" s="409"/>
      <c r="K59" s="393"/>
      <c r="L59" s="406"/>
      <c r="M59" s="404"/>
      <c r="N59" s="409"/>
      <c r="O59" s="409"/>
      <c r="P59" s="393"/>
    </row>
    <row r="60" spans="1:16" ht="14.25" customHeight="1" x14ac:dyDescent="0.25">
      <c r="A60" s="391"/>
      <c r="B60" s="404"/>
      <c r="C60" s="404"/>
      <c r="D60" s="409"/>
      <c r="E60" s="409"/>
      <c r="F60" s="393"/>
      <c r="G60" s="404"/>
      <c r="H60" s="404"/>
      <c r="I60" s="409"/>
      <c r="J60" s="409"/>
      <c r="K60" s="393"/>
      <c r="M60" s="404"/>
      <c r="N60" s="409"/>
      <c r="O60" s="409"/>
      <c r="P60" s="393"/>
    </row>
    <row r="61" spans="1:16" ht="14.65" customHeight="1" x14ac:dyDescent="0.25">
      <c r="A61" s="391"/>
      <c r="B61" s="397"/>
      <c r="C61" s="404"/>
      <c r="D61" s="409"/>
      <c r="E61" s="409"/>
      <c r="F61" s="393"/>
      <c r="G61" s="404"/>
      <c r="H61" s="404"/>
      <c r="I61" s="409"/>
      <c r="J61" s="409"/>
      <c r="K61" s="393"/>
      <c r="L61" s="404" t="s">
        <v>75</v>
      </c>
      <c r="M61" s="404"/>
      <c r="N61" s="409">
        <f>+D62</f>
        <v>25260</v>
      </c>
      <c r="O61" s="409"/>
      <c r="P61" s="393"/>
    </row>
    <row r="62" spans="1:16" ht="14.65" customHeight="1" x14ac:dyDescent="0.25">
      <c r="A62" s="400" t="s">
        <v>65</v>
      </c>
      <c r="B62" s="389" t="s">
        <v>164</v>
      </c>
      <c r="C62" s="404"/>
      <c r="D62" s="388">
        <f>+E63</f>
        <v>25260</v>
      </c>
      <c r="F62" s="393"/>
      <c r="G62" s="493" t="str">
        <f>+G38</f>
        <v>Amortization expense</v>
      </c>
      <c r="H62" s="484"/>
      <c r="I62" s="409">
        <f>+'Ex. 1 Calcs - County'!O18</f>
        <v>101952</v>
      </c>
      <c r="J62" s="409"/>
      <c r="K62" s="393"/>
      <c r="L62" s="389" t="s">
        <v>632</v>
      </c>
      <c r="N62" s="409">
        <f>+I62</f>
        <v>101952</v>
      </c>
      <c r="O62" s="409"/>
      <c r="P62" s="393"/>
    </row>
    <row r="63" spans="1:16" ht="14.65" customHeight="1" x14ac:dyDescent="0.25">
      <c r="A63" s="391"/>
      <c r="C63" s="389" t="str">
        <f>+C39</f>
        <v>Prepaid rent</v>
      </c>
      <c r="E63" s="388">
        <f>+D55</f>
        <v>25260</v>
      </c>
      <c r="F63" s="393"/>
      <c r="G63" s="397"/>
      <c r="H63" s="404" t="str">
        <f>+H39</f>
        <v>Accumulated amortization - lease asset</v>
      </c>
      <c r="I63" s="409"/>
      <c r="J63" s="409">
        <f>+I62</f>
        <v>101952</v>
      </c>
      <c r="K63" s="393"/>
      <c r="L63" s="397"/>
      <c r="M63" s="404" t="str">
        <f>+H63</f>
        <v>Accumulated amortization - lease asset</v>
      </c>
      <c r="N63" s="409"/>
      <c r="O63" s="409">
        <f>+J63</f>
        <v>101952</v>
      </c>
      <c r="P63" s="393"/>
    </row>
    <row r="64" spans="1:16" ht="14.65" customHeight="1" x14ac:dyDescent="0.25">
      <c r="A64" s="391"/>
      <c r="B64" s="405" t="s">
        <v>651</v>
      </c>
      <c r="F64" s="393"/>
      <c r="G64" s="405" t="str">
        <f>G40</f>
        <v>[To record amortization of lease asset]</v>
      </c>
      <c r="H64" s="404"/>
      <c r="I64" s="409"/>
      <c r="J64" s="409"/>
      <c r="K64" s="393"/>
      <c r="M64" s="404" t="str">
        <f>+C63</f>
        <v>Prepaid rent</v>
      </c>
      <c r="N64" s="409"/>
      <c r="O64" s="409">
        <f>+E63</f>
        <v>25260</v>
      </c>
      <c r="P64" s="393"/>
    </row>
    <row r="65" spans="1:84" ht="14.65" customHeight="1" x14ac:dyDescent="0.25">
      <c r="A65" s="391"/>
      <c r="F65" s="393"/>
      <c r="G65" s="405"/>
      <c r="H65" s="404"/>
      <c r="I65" s="409"/>
      <c r="J65" s="409"/>
      <c r="K65" s="393"/>
      <c r="L65" s="405" t="str">
        <f>L42</f>
        <v>[To record amortization of lease asset and rental expense]</v>
      </c>
      <c r="M65" s="404"/>
      <c r="N65" s="409"/>
      <c r="O65" s="409"/>
      <c r="P65" s="393"/>
    </row>
    <row r="66" spans="1:84" ht="14.65" customHeight="1" x14ac:dyDescent="0.25">
      <c r="A66" s="502"/>
      <c r="B66" s="405"/>
      <c r="C66" s="405"/>
      <c r="D66" s="500"/>
      <c r="E66" s="409"/>
      <c r="F66" s="393"/>
      <c r="G66" s="404"/>
      <c r="H66" s="404"/>
      <c r="I66" s="404"/>
      <c r="J66" s="409"/>
      <c r="K66" s="393"/>
      <c r="L66" s="405"/>
      <c r="M66" s="404"/>
      <c r="N66" s="409"/>
      <c r="O66" s="409"/>
      <c r="P66" s="393"/>
    </row>
    <row r="67" spans="1:84" ht="14.65" customHeight="1" x14ac:dyDescent="0.25">
      <c r="A67" s="502"/>
      <c r="B67" s="405"/>
      <c r="C67" s="405"/>
      <c r="D67" s="500"/>
      <c r="E67" s="409"/>
      <c r="F67" s="393"/>
      <c r="G67" s="404"/>
      <c r="H67" s="404"/>
      <c r="I67" s="404"/>
      <c r="J67" s="409"/>
      <c r="K67" s="393"/>
      <c r="L67" s="405"/>
      <c r="M67" s="404"/>
      <c r="N67" s="409"/>
      <c r="O67" s="409"/>
      <c r="P67" s="393"/>
    </row>
    <row r="68" spans="1:84" ht="14.65" customHeight="1" x14ac:dyDescent="0.25">
      <c r="A68" s="391"/>
      <c r="B68" s="405"/>
      <c r="C68" s="405"/>
      <c r="D68" s="409"/>
      <c r="E68" s="409"/>
      <c r="F68" s="393"/>
      <c r="G68" s="501"/>
      <c r="H68" s="501"/>
      <c r="I68" s="409"/>
      <c r="J68" s="409"/>
      <c r="K68" s="393"/>
      <c r="L68" s="397"/>
      <c r="M68" s="404"/>
      <c r="N68" s="409"/>
      <c r="O68" s="409"/>
      <c r="P68" s="393"/>
      <c r="Q68" s="415"/>
      <c r="R68" s="415"/>
      <c r="S68" s="415"/>
      <c r="T68" s="415"/>
      <c r="U68" s="415"/>
      <c r="V68" s="415"/>
      <c r="W68" s="415"/>
      <c r="X68" s="415"/>
      <c r="Y68" s="415"/>
      <c r="Z68" s="415"/>
      <c r="AA68" s="415"/>
      <c r="AB68" s="415"/>
      <c r="AC68" s="415"/>
      <c r="AD68" s="415"/>
      <c r="AE68" s="415"/>
      <c r="AF68" s="415"/>
      <c r="AG68" s="415"/>
      <c r="AH68" s="415"/>
      <c r="AI68" s="415"/>
      <c r="AJ68" s="415"/>
      <c r="AK68" s="415"/>
      <c r="AL68" s="415"/>
      <c r="AM68" s="415"/>
      <c r="AN68" s="415"/>
      <c r="AO68" s="415"/>
      <c r="AP68" s="415"/>
      <c r="AQ68" s="415"/>
      <c r="AR68" s="415"/>
      <c r="AS68" s="415"/>
      <c r="AT68" s="415"/>
      <c r="AU68" s="415"/>
      <c r="AV68" s="415"/>
      <c r="AW68" s="415"/>
      <c r="AX68" s="415"/>
      <c r="AY68" s="415"/>
      <c r="AZ68" s="415"/>
      <c r="BA68" s="415"/>
      <c r="BB68" s="415"/>
      <c r="BC68" s="415"/>
      <c r="BD68" s="415"/>
      <c r="BE68" s="415"/>
      <c r="BF68" s="415"/>
      <c r="BG68" s="415"/>
      <c r="BH68" s="415"/>
      <c r="BI68" s="415"/>
      <c r="BJ68" s="415"/>
      <c r="BK68" s="415"/>
      <c r="BL68" s="415"/>
      <c r="BM68" s="415"/>
      <c r="BN68" s="415"/>
      <c r="BO68" s="415"/>
      <c r="BP68" s="415"/>
      <c r="BQ68" s="415"/>
      <c r="BR68" s="415"/>
      <c r="BS68" s="415"/>
      <c r="BT68" s="415"/>
      <c r="BU68" s="415"/>
      <c r="BV68" s="415"/>
      <c r="BW68" s="415"/>
      <c r="BX68" s="415"/>
      <c r="BY68" s="415"/>
      <c r="BZ68" s="415"/>
      <c r="CA68" s="415"/>
      <c r="CB68" s="415"/>
      <c r="CC68" s="415"/>
      <c r="CD68" s="415"/>
      <c r="CE68" s="415"/>
      <c r="CF68" s="503"/>
    </row>
    <row r="69" spans="1:84" ht="14.65" customHeight="1" x14ac:dyDescent="0.25">
      <c r="A69" s="400" t="s">
        <v>66</v>
      </c>
      <c r="B69" s="397"/>
      <c r="C69" s="404" t="s">
        <v>36</v>
      </c>
      <c r="D69" s="409"/>
      <c r="E69" s="409"/>
      <c r="F69" s="393"/>
      <c r="G69" s="404" t="s">
        <v>3</v>
      </c>
      <c r="H69" s="404"/>
      <c r="I69" s="409">
        <f>ROUND(+'Ex. 1 Calcs - County'!D19,0)</f>
        <v>32587</v>
      </c>
      <c r="J69" s="409"/>
      <c r="K69" s="393"/>
      <c r="L69" s="404" t="str">
        <f t="shared" ref="L69" si="8">G69</f>
        <v>Interest expense</v>
      </c>
      <c r="M69" s="404"/>
      <c r="N69" s="409">
        <f>+I69</f>
        <v>32587</v>
      </c>
      <c r="O69" s="409"/>
      <c r="P69" s="393"/>
    </row>
    <row r="70" spans="1:84" ht="14.65" customHeight="1" x14ac:dyDescent="0.25">
      <c r="A70" s="485"/>
      <c r="B70" s="404"/>
      <c r="C70" s="404"/>
      <c r="D70" s="409"/>
      <c r="E70" s="409"/>
      <c r="F70" s="393"/>
      <c r="G70" s="405"/>
      <c r="H70" s="404" t="s">
        <v>28</v>
      </c>
      <c r="I70" s="409"/>
      <c r="J70" s="409">
        <f>+I69</f>
        <v>32587</v>
      </c>
      <c r="K70" s="393"/>
      <c r="L70" s="405"/>
      <c r="M70" s="404" t="str">
        <f t="shared" ref="M70" si="9">H70</f>
        <v>Interest payable</v>
      </c>
      <c r="N70" s="409"/>
      <c r="O70" s="409">
        <f>+J70</f>
        <v>32587</v>
      </c>
      <c r="P70" s="393"/>
    </row>
    <row r="71" spans="1:84" ht="14.65" customHeight="1" x14ac:dyDescent="0.25">
      <c r="A71" s="391"/>
      <c r="B71" s="404"/>
      <c r="C71" s="404"/>
      <c r="D71" s="409"/>
      <c r="E71" s="409"/>
      <c r="F71" s="393"/>
      <c r="G71" s="405" t="s">
        <v>734</v>
      </c>
      <c r="H71" s="404"/>
      <c r="I71" s="409"/>
      <c r="J71" s="409"/>
      <c r="K71" s="393"/>
      <c r="L71" s="405" t="str">
        <f t="shared" ref="L71:L72" si="10">G71</f>
        <v>[To record accrual of interest payable for 7/1/14 – 6/30/15</v>
      </c>
      <c r="M71" s="404"/>
      <c r="N71" s="409"/>
      <c r="O71" s="409"/>
      <c r="P71" s="393"/>
    </row>
    <row r="72" spans="1:84" ht="14.65" customHeight="1" x14ac:dyDescent="0.25">
      <c r="A72" s="391"/>
      <c r="B72" s="404"/>
      <c r="C72" s="404"/>
      <c r="D72" s="409"/>
      <c r="E72" s="409"/>
      <c r="F72" s="393"/>
      <c r="G72" s="405" t="s">
        <v>659</v>
      </c>
      <c r="H72" s="404"/>
      <c r="I72" s="409"/>
      <c r="J72" s="409"/>
      <c r="K72" s="393"/>
      <c r="L72" s="405" t="str">
        <f t="shared" si="10"/>
        <v>that will be paid on 7/1/15]</v>
      </c>
      <c r="M72" s="404"/>
      <c r="N72" s="409"/>
      <c r="O72" s="409"/>
      <c r="P72" s="393"/>
    </row>
    <row r="73" spans="1:84" ht="14.65" customHeight="1" x14ac:dyDescent="0.25">
      <c r="A73" s="391"/>
      <c r="B73" s="404"/>
      <c r="C73" s="404"/>
      <c r="D73" s="409"/>
      <c r="E73" s="409"/>
      <c r="F73" s="393"/>
      <c r="G73" s="405"/>
      <c r="H73" s="404"/>
      <c r="I73" s="409"/>
      <c r="J73" s="409"/>
      <c r="K73" s="393"/>
      <c r="L73" s="405"/>
      <c r="M73" s="404"/>
      <c r="N73" s="409"/>
      <c r="O73" s="409"/>
      <c r="P73" s="393"/>
    </row>
    <row r="74" spans="1:84" x14ac:dyDescent="0.25">
      <c r="B74" s="734" t="s">
        <v>68</v>
      </c>
      <c r="C74" s="735"/>
      <c r="D74" s="735"/>
      <c r="E74" s="736"/>
      <c r="F74" s="393"/>
      <c r="G74" s="746" t="s">
        <v>68</v>
      </c>
      <c r="H74" s="747"/>
      <c r="I74" s="747"/>
      <c r="J74" s="748"/>
      <c r="K74" s="393"/>
      <c r="L74" s="734" t="s">
        <v>68</v>
      </c>
      <c r="M74" s="735"/>
      <c r="N74" s="735"/>
      <c r="O74" s="736"/>
      <c r="P74" s="393"/>
    </row>
    <row r="75" spans="1:84" ht="14.65" customHeight="1" x14ac:dyDescent="0.25">
      <c r="A75" s="391"/>
      <c r="B75" s="404"/>
      <c r="C75" s="404"/>
      <c r="D75" s="409"/>
      <c r="E75" s="409"/>
      <c r="F75" s="393"/>
      <c r="G75" s="405"/>
      <c r="H75" s="404"/>
      <c r="I75" s="409"/>
      <c r="J75" s="409"/>
      <c r="K75" s="393"/>
      <c r="L75" s="405"/>
      <c r="M75" s="404"/>
      <c r="N75" s="409"/>
      <c r="O75" s="409"/>
      <c r="P75" s="393"/>
    </row>
    <row r="76" spans="1:84" ht="14.65" customHeight="1" x14ac:dyDescent="0.25">
      <c r="A76" s="398" t="s">
        <v>201</v>
      </c>
      <c r="B76" s="404"/>
      <c r="C76" s="404"/>
      <c r="D76" s="409"/>
      <c r="E76" s="409"/>
      <c r="F76" s="393"/>
      <c r="G76" s="405"/>
      <c r="H76" s="404"/>
      <c r="I76" s="409"/>
      <c r="J76" s="409"/>
      <c r="K76" s="393"/>
      <c r="L76" s="405"/>
      <c r="M76" s="404"/>
      <c r="N76" s="409"/>
      <c r="O76" s="409"/>
      <c r="P76" s="393"/>
    </row>
    <row r="77" spans="1:84" ht="14.65" customHeight="1" x14ac:dyDescent="0.25">
      <c r="A77" s="400">
        <v>48030</v>
      </c>
      <c r="B77" s="493" t="str">
        <f>+B55</f>
        <v>Prepaid rent</v>
      </c>
      <c r="D77" s="409">
        <f>ROUND(+'Ex. 1 Calcs - County'!L35,0)</f>
        <v>205000</v>
      </c>
      <c r="E77" s="389"/>
      <c r="F77" s="393"/>
      <c r="G77" s="493"/>
      <c r="H77" s="741" t="s">
        <v>730</v>
      </c>
      <c r="I77" s="742"/>
      <c r="J77" s="409"/>
      <c r="K77" s="393"/>
      <c r="L77" s="404" t="str">
        <f>+B77</f>
        <v>Prepaid rent</v>
      </c>
      <c r="N77" s="409">
        <f>+D77</f>
        <v>205000</v>
      </c>
      <c r="O77" s="389"/>
      <c r="P77" s="393"/>
    </row>
    <row r="78" spans="1:84" ht="14.65" customHeight="1" x14ac:dyDescent="0.25">
      <c r="A78" s="391"/>
      <c r="B78" s="484"/>
      <c r="C78" s="493" t="s">
        <v>2</v>
      </c>
      <c r="D78" s="409"/>
      <c r="E78" s="409">
        <f>+'Ex. 1 Calcs - County'!K35</f>
        <v>205000</v>
      </c>
      <c r="F78" s="393"/>
      <c r="H78" s="743" t="s">
        <v>656</v>
      </c>
      <c r="I78" s="744"/>
      <c r="J78" s="409"/>
      <c r="K78" s="393"/>
      <c r="L78" s="397"/>
      <c r="M78" s="389" t="str">
        <f>+C78</f>
        <v>Cash</v>
      </c>
      <c r="N78" s="389"/>
      <c r="O78" s="402">
        <f>+E78</f>
        <v>205000</v>
      </c>
      <c r="P78" s="393"/>
    </row>
    <row r="79" spans="1:84" ht="14.65" customHeight="1" x14ac:dyDescent="0.25">
      <c r="A79" s="391"/>
      <c r="B79" s="405" t="s">
        <v>82</v>
      </c>
      <c r="C79" s="405"/>
      <c r="D79" s="409"/>
      <c r="E79" s="409"/>
      <c r="F79" s="393"/>
      <c r="G79" s="484"/>
      <c r="H79" s="745"/>
      <c r="I79" s="745"/>
      <c r="J79" s="409"/>
      <c r="K79" s="393"/>
      <c r="L79" s="405" t="str">
        <f>B79</f>
        <v>[To record rental payment to lessor based on actual</v>
      </c>
      <c r="M79" s="404"/>
      <c r="N79" s="409"/>
      <c r="O79" s="409"/>
      <c r="P79" s="393"/>
    </row>
    <row r="80" spans="1:84" ht="14.65" customHeight="1" x14ac:dyDescent="0.25">
      <c r="A80" s="391"/>
      <c r="B80" s="405" t="s">
        <v>203</v>
      </c>
      <c r="C80" s="404"/>
      <c r="D80" s="409"/>
      <c r="E80" s="409"/>
      <c r="F80" s="393"/>
      <c r="G80" s="404"/>
      <c r="H80" s="404"/>
      <c r="I80" s="409"/>
      <c r="J80" s="409"/>
      <c r="K80" s="393"/>
      <c r="L80" s="406" t="str">
        <f>B80</f>
        <v>CY 2030 CPPI]</v>
      </c>
      <c r="M80" s="404"/>
      <c r="N80" s="409"/>
      <c r="O80" s="409"/>
      <c r="P80" s="393"/>
    </row>
    <row r="81" spans="1:16" ht="14.65" customHeight="1" x14ac:dyDescent="0.25">
      <c r="A81" s="391"/>
      <c r="P81" s="393"/>
    </row>
    <row r="82" spans="1:16" ht="14.25" customHeight="1" x14ac:dyDescent="0.25">
      <c r="A82" s="391"/>
      <c r="P82" s="393"/>
    </row>
    <row r="83" spans="1:16" ht="14.25" customHeight="1" x14ac:dyDescent="0.25">
      <c r="A83" s="391"/>
      <c r="B83" s="404"/>
      <c r="C83" s="404"/>
      <c r="D83" s="409"/>
      <c r="E83" s="409"/>
      <c r="F83" s="393"/>
      <c r="G83" s="404"/>
      <c r="H83" s="404"/>
      <c r="I83" s="409"/>
      <c r="J83" s="409"/>
      <c r="K83" s="393"/>
      <c r="M83" s="404"/>
      <c r="N83" s="409"/>
      <c r="O83" s="409"/>
      <c r="P83" s="393"/>
    </row>
    <row r="84" spans="1:16" ht="14.65" customHeight="1" x14ac:dyDescent="0.25">
      <c r="A84" s="391"/>
      <c r="B84" s="397"/>
      <c r="C84" s="404"/>
      <c r="D84" s="409"/>
      <c r="E84" s="409"/>
      <c r="F84" s="393"/>
      <c r="G84" s="404"/>
      <c r="H84" s="404"/>
      <c r="I84" s="409"/>
      <c r="J84" s="409"/>
      <c r="K84" s="393"/>
      <c r="L84" s="397"/>
      <c r="M84" s="404"/>
      <c r="N84" s="409"/>
      <c r="O84" s="409"/>
      <c r="P84" s="393"/>
    </row>
    <row r="85" spans="1:16" ht="14.65" customHeight="1" x14ac:dyDescent="0.25">
      <c r="A85" s="400" t="s">
        <v>196</v>
      </c>
      <c r="B85" s="389" t="s">
        <v>164</v>
      </c>
      <c r="C85" s="404"/>
      <c r="D85" s="388">
        <f>+E86</f>
        <v>205000</v>
      </c>
      <c r="F85" s="393"/>
      <c r="G85" s="493" t="str">
        <f>+G62</f>
        <v>Amortization expense</v>
      </c>
      <c r="H85" s="484"/>
      <c r="I85" s="409">
        <f>+'Ex. 1 Calcs - County'!O35</f>
        <v>101955</v>
      </c>
      <c r="J85" s="409"/>
      <c r="K85" s="393"/>
      <c r="L85" s="404" t="s">
        <v>75</v>
      </c>
      <c r="M85" s="404"/>
      <c r="N85" s="409">
        <f>+D85</f>
        <v>205000</v>
      </c>
      <c r="O85" s="409"/>
      <c r="P85" s="393"/>
    </row>
    <row r="86" spans="1:16" ht="14.65" customHeight="1" x14ac:dyDescent="0.25">
      <c r="A86" s="391"/>
      <c r="C86" s="389" t="str">
        <f>+C63</f>
        <v>Prepaid rent</v>
      </c>
      <c r="E86" s="388">
        <f>+D77</f>
        <v>205000</v>
      </c>
      <c r="F86" s="393"/>
      <c r="G86" s="397"/>
      <c r="H86" s="404" t="str">
        <f>+H63</f>
        <v>Accumulated amortization - lease asset</v>
      </c>
      <c r="I86" s="409"/>
      <c r="J86" s="409">
        <f>+I85</f>
        <v>101955</v>
      </c>
      <c r="K86" s="393"/>
      <c r="L86" s="389" t="s">
        <v>632</v>
      </c>
      <c r="N86" s="402">
        <f>+I85</f>
        <v>101955</v>
      </c>
      <c r="O86" s="389"/>
      <c r="P86" s="393"/>
    </row>
    <row r="87" spans="1:16" ht="14.65" customHeight="1" x14ac:dyDescent="0.25">
      <c r="A87" s="391"/>
      <c r="B87" s="405" t="s">
        <v>165</v>
      </c>
      <c r="F87" s="393"/>
      <c r="G87" s="405" t="s">
        <v>72</v>
      </c>
      <c r="H87" s="404"/>
      <c r="I87" s="409"/>
      <c r="J87" s="409"/>
      <c r="K87" s="393"/>
      <c r="L87" s="397"/>
      <c r="M87" s="404" t="str">
        <f>+H86</f>
        <v>Accumulated amortization - lease asset</v>
      </c>
      <c r="N87" s="409"/>
      <c r="O87" s="409">
        <f>+J86</f>
        <v>101955</v>
      </c>
      <c r="P87" s="393"/>
    </row>
    <row r="88" spans="1:16" ht="14.65" customHeight="1" x14ac:dyDescent="0.25">
      <c r="A88" s="391"/>
      <c r="F88" s="393"/>
      <c r="G88" s="405" t="s">
        <v>73</v>
      </c>
      <c r="H88" s="404"/>
      <c r="I88" s="409"/>
      <c r="J88" s="409"/>
      <c r="K88" s="393"/>
      <c r="M88" s="404" t="str">
        <f>+C86</f>
        <v>Prepaid rent</v>
      </c>
      <c r="N88" s="409"/>
      <c r="O88" s="409">
        <f>+E86</f>
        <v>205000</v>
      </c>
      <c r="P88" s="393"/>
    </row>
    <row r="89" spans="1:16" ht="14.65" customHeight="1" x14ac:dyDescent="0.25">
      <c r="A89" s="502"/>
      <c r="B89" s="405"/>
      <c r="C89" s="405"/>
      <c r="D89" s="500"/>
      <c r="E89" s="409"/>
      <c r="F89" s="393"/>
      <c r="G89" s="404"/>
      <c r="H89" s="404"/>
      <c r="I89" s="404"/>
      <c r="J89" s="409"/>
      <c r="K89" s="393"/>
      <c r="L89" s="405" t="str">
        <f>+G87</f>
        <v>[To record amortization of lease asset and recognize</v>
      </c>
      <c r="M89" s="404"/>
      <c r="N89" s="409"/>
      <c r="O89" s="409"/>
      <c r="P89" s="393"/>
    </row>
    <row r="90" spans="1:16" x14ac:dyDescent="0.25">
      <c r="A90" s="391"/>
      <c r="B90" s="404"/>
      <c r="C90" s="404"/>
      <c r="D90" s="409"/>
      <c r="E90" s="409"/>
      <c r="F90" s="393"/>
      <c r="G90" s="405"/>
      <c r="H90" s="404"/>
      <c r="I90" s="409"/>
      <c r="J90" s="409"/>
      <c r="K90" s="393"/>
      <c r="L90" s="405" t="s">
        <v>74</v>
      </c>
      <c r="M90" s="404"/>
      <c r="N90" s="409"/>
      <c r="O90" s="409"/>
      <c r="P90" s="393"/>
    </row>
    <row r="91" spans="1:16" x14ac:dyDescent="0.25">
      <c r="B91" s="393"/>
      <c r="C91" s="393"/>
      <c r="D91" s="505">
        <f>SUM(D6:D90)-SUM(E6:E90)</f>
        <v>0</v>
      </c>
      <c r="E91" s="392"/>
      <c r="F91" s="393"/>
      <c r="G91" s="393"/>
      <c r="H91" s="393"/>
      <c r="I91" s="505">
        <f>SUM(I6:I90)-SUM(J6:J90)</f>
        <v>0</v>
      </c>
      <c r="J91" s="409"/>
      <c r="K91" s="393"/>
      <c r="L91" s="393"/>
      <c r="M91" s="393"/>
      <c r="N91" s="505">
        <f>SUM(N6:N90)-SUM(O6:O90)</f>
        <v>0</v>
      </c>
      <c r="O91" s="392"/>
      <c r="P91" s="393"/>
    </row>
    <row r="92" spans="1:16" x14ac:dyDescent="0.25">
      <c r="B92" s="393"/>
      <c r="C92" s="393"/>
      <c r="D92" s="392"/>
      <c r="E92" s="392"/>
      <c r="F92" s="393"/>
      <c r="G92" s="393"/>
      <c r="H92" s="393"/>
      <c r="I92" s="392"/>
      <c r="J92" s="392"/>
      <c r="K92" s="393"/>
      <c r="L92" s="393"/>
      <c r="M92" s="393"/>
      <c r="N92" s="392"/>
      <c r="O92" s="392"/>
      <c r="P92" s="393"/>
    </row>
    <row r="94" spans="1:16" x14ac:dyDescent="0.25">
      <c r="B94" s="393"/>
      <c r="C94" s="393"/>
      <c r="D94" s="392"/>
      <c r="E94" s="392"/>
      <c r="F94" s="393"/>
      <c r="G94" s="393"/>
      <c r="H94" s="393"/>
      <c r="I94" s="392"/>
      <c r="J94" s="392"/>
      <c r="K94" s="393"/>
      <c r="L94" s="393"/>
      <c r="M94" s="393"/>
      <c r="N94" s="392"/>
      <c r="O94" s="392"/>
      <c r="P94" s="393"/>
    </row>
    <row r="95" spans="1:16" x14ac:dyDescent="0.25">
      <c r="B95" s="393"/>
      <c r="C95" s="393"/>
      <c r="D95" s="392"/>
      <c r="E95" s="392"/>
      <c r="F95" s="393"/>
      <c r="G95" s="393"/>
      <c r="H95" s="393"/>
      <c r="I95" s="392"/>
      <c r="J95" s="392"/>
      <c r="K95" s="393"/>
      <c r="L95" s="393"/>
      <c r="M95" s="393"/>
      <c r="N95" s="392"/>
      <c r="O95" s="392"/>
      <c r="P95" s="393"/>
    </row>
    <row r="96" spans="1:16" x14ac:dyDescent="0.25">
      <c r="B96" s="393"/>
      <c r="C96" s="393"/>
      <c r="D96" s="392"/>
      <c r="E96" s="392"/>
      <c r="F96" s="393"/>
      <c r="G96" s="393"/>
      <c r="H96" s="393"/>
      <c r="I96" s="392"/>
      <c r="J96" s="392"/>
      <c r="K96" s="393"/>
      <c r="L96" s="393"/>
      <c r="M96" s="393"/>
      <c r="N96" s="392"/>
      <c r="O96" s="392"/>
      <c r="P96" s="393"/>
    </row>
    <row r="97" spans="2:16" x14ac:dyDescent="0.25">
      <c r="B97" s="393"/>
      <c r="C97" s="393"/>
      <c r="D97" s="392"/>
      <c r="E97" s="392"/>
      <c r="F97" s="393"/>
      <c r="G97" s="393"/>
      <c r="H97" s="393"/>
      <c r="I97" s="392"/>
      <c r="J97" s="392"/>
      <c r="K97" s="393"/>
      <c r="L97" s="393"/>
      <c r="M97" s="393"/>
      <c r="N97" s="392"/>
      <c r="O97" s="392"/>
      <c r="P97" s="393"/>
    </row>
    <row r="98" spans="2:16" x14ac:dyDescent="0.25">
      <c r="B98" s="393"/>
      <c r="C98" s="393"/>
      <c r="D98" s="392"/>
      <c r="E98" s="392"/>
      <c r="F98" s="393"/>
      <c r="G98" s="393"/>
      <c r="H98" s="393"/>
      <c r="I98" s="392"/>
      <c r="J98" s="392"/>
      <c r="K98" s="393"/>
      <c r="L98" s="393"/>
      <c r="M98" s="393"/>
      <c r="N98" s="392"/>
      <c r="O98" s="392"/>
      <c r="P98" s="393"/>
    </row>
    <row r="99" spans="2:16" x14ac:dyDescent="0.25">
      <c r="B99" s="393"/>
      <c r="C99" s="393"/>
      <c r="D99" s="392"/>
      <c r="E99" s="392"/>
      <c r="F99" s="393"/>
      <c r="G99" s="393"/>
      <c r="H99" s="393"/>
      <c r="I99" s="392"/>
      <c r="J99" s="392"/>
      <c r="K99" s="393"/>
      <c r="L99" s="393"/>
      <c r="M99" s="393"/>
      <c r="N99" s="392"/>
      <c r="O99" s="392"/>
      <c r="P99" s="393"/>
    </row>
    <row r="100" spans="2:16" x14ac:dyDescent="0.25">
      <c r="B100" s="393"/>
      <c r="C100" s="393"/>
      <c r="D100" s="392"/>
      <c r="E100" s="392"/>
      <c r="F100" s="393"/>
      <c r="G100" s="393"/>
      <c r="H100" s="393"/>
      <c r="I100" s="392"/>
      <c r="J100" s="392"/>
      <c r="K100" s="393"/>
      <c r="L100" s="393"/>
      <c r="M100" s="393"/>
      <c r="N100" s="392"/>
      <c r="O100" s="392"/>
      <c r="P100" s="393"/>
    </row>
    <row r="101" spans="2:16" x14ac:dyDescent="0.25">
      <c r="B101" s="393"/>
      <c r="C101" s="393"/>
      <c r="D101" s="392"/>
      <c r="E101" s="392"/>
      <c r="F101" s="393"/>
      <c r="G101" s="393"/>
      <c r="H101" s="393"/>
      <c r="I101" s="392"/>
      <c r="J101" s="392"/>
      <c r="K101" s="393"/>
      <c r="L101" s="393"/>
      <c r="M101" s="393"/>
      <c r="N101" s="392"/>
      <c r="O101" s="392"/>
      <c r="P101" s="393"/>
    </row>
  </sheetData>
  <mergeCells count="10">
    <mergeCell ref="H77:I77"/>
    <mergeCell ref="H78:I78"/>
    <mergeCell ref="H79:I79"/>
    <mergeCell ref="A1:O1"/>
    <mergeCell ref="B4:E4"/>
    <mergeCell ref="G4:J4"/>
    <mergeCell ref="L4:O4"/>
    <mergeCell ref="B74:E74"/>
    <mergeCell ref="G74:J74"/>
    <mergeCell ref="L74:O74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/>
  </sheetViews>
  <sheetFormatPr defaultColWidth="9" defaultRowHeight="18.75" x14ac:dyDescent="0.3"/>
  <cols>
    <col min="1" max="1" width="8.5703125" style="60" customWidth="1"/>
    <col min="2" max="3" width="2.7109375" style="60" customWidth="1"/>
    <col min="4" max="4" width="50.28515625" style="60" customWidth="1"/>
    <col min="5" max="5" width="15.42578125" style="60" bestFit="1" customWidth="1"/>
    <col min="6" max="6" width="12.28515625" style="60" bestFit="1" customWidth="1"/>
    <col min="7" max="7" width="15.42578125" style="60" bestFit="1" customWidth="1"/>
    <col min="8" max="8" width="13.5703125" style="60" bestFit="1" customWidth="1"/>
    <col min="9" max="9" width="15.42578125" style="60" bestFit="1" customWidth="1"/>
    <col min="10" max="10" width="13.7109375" style="60" bestFit="1" customWidth="1"/>
    <col min="11" max="11" width="12.42578125" style="60" bestFit="1" customWidth="1"/>
    <col min="12" max="16384" width="9" style="60"/>
  </cols>
  <sheetData>
    <row r="1" spans="1:6" x14ac:dyDescent="0.3">
      <c r="A1" s="84"/>
    </row>
    <row r="2" spans="1:6" x14ac:dyDescent="0.3">
      <c r="A2" s="59"/>
      <c r="B2" s="95" t="s">
        <v>156</v>
      </c>
    </row>
    <row r="4" spans="1:6" x14ac:dyDescent="0.3">
      <c r="B4" s="60" t="s">
        <v>87</v>
      </c>
      <c r="E4" s="60">
        <v>2</v>
      </c>
    </row>
    <row r="5" spans="1:6" x14ac:dyDescent="0.3">
      <c r="B5" s="60" t="s">
        <v>84</v>
      </c>
      <c r="E5" s="96">
        <f>120000*140%</f>
        <v>168000</v>
      </c>
    </row>
    <row r="6" spans="1:6" x14ac:dyDescent="0.3">
      <c r="B6" s="60" t="s">
        <v>740</v>
      </c>
      <c r="E6" s="70">
        <v>0.03</v>
      </c>
    </row>
    <row r="7" spans="1:6" x14ac:dyDescent="0.3">
      <c r="B7" s="60" t="s">
        <v>85</v>
      </c>
      <c r="E7" s="97">
        <v>1.7500000000000002E-2</v>
      </c>
    </row>
    <row r="9" spans="1:6" x14ac:dyDescent="0.3">
      <c r="B9" s="60" t="s">
        <v>741</v>
      </c>
    </row>
    <row r="10" spans="1:6" x14ac:dyDescent="0.3">
      <c r="C10" s="60" t="s">
        <v>664</v>
      </c>
      <c r="E10" s="70">
        <v>0.4</v>
      </c>
      <c r="F10" s="96">
        <f>+E5</f>
        <v>168000</v>
      </c>
    </row>
    <row r="11" spans="1:6" x14ac:dyDescent="0.3">
      <c r="C11" s="60" t="s">
        <v>171</v>
      </c>
      <c r="E11" s="70">
        <v>-0.15</v>
      </c>
      <c r="F11" s="96">
        <f>+F10*(1+E11)</f>
        <v>142800</v>
      </c>
    </row>
    <row r="12" spans="1:6" x14ac:dyDescent="0.3">
      <c r="C12" s="60" t="s">
        <v>189</v>
      </c>
    </row>
    <row r="13" spans="1:6" x14ac:dyDescent="0.3">
      <c r="D13" s="60" t="s">
        <v>190</v>
      </c>
      <c r="E13" s="70">
        <v>0.05</v>
      </c>
      <c r="F13" s="96">
        <f>+F11*(1+E13)-120000</f>
        <v>29940</v>
      </c>
    </row>
    <row r="15" spans="1:6" x14ac:dyDescent="0.3">
      <c r="B15" s="60" t="s">
        <v>172</v>
      </c>
    </row>
    <row r="16" spans="1:6" x14ac:dyDescent="0.3">
      <c r="C16" s="60" t="s">
        <v>94</v>
      </c>
      <c r="F16" s="96">
        <v>24000</v>
      </c>
    </row>
    <row r="17" spans="3:6" x14ac:dyDescent="0.3">
      <c r="C17" s="60" t="s">
        <v>102</v>
      </c>
      <c r="F17" s="96">
        <v>24500</v>
      </c>
    </row>
    <row r="18" spans="3:6" x14ac:dyDescent="0.3">
      <c r="C18" s="60" t="s">
        <v>107</v>
      </c>
      <c r="F18" s="96">
        <v>25000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topLeftCell="A4" workbookViewId="0"/>
  </sheetViews>
  <sheetFormatPr defaultColWidth="9" defaultRowHeight="15.75" x14ac:dyDescent="0.25"/>
  <cols>
    <col min="1" max="1" width="5" style="429" customWidth="1"/>
    <col min="2" max="2" width="16.42578125" style="436" customWidth="1"/>
    <col min="3" max="3" width="14.42578125" style="437" customWidth="1"/>
    <col min="4" max="4" width="15" style="437" customWidth="1"/>
    <col min="5" max="5" width="9.85546875" style="437" bestFit="1" customWidth="1"/>
    <col min="6" max="6" width="13" style="437" customWidth="1"/>
    <col min="7" max="7" width="11.28515625" style="429" customWidth="1"/>
    <col min="8" max="8" width="16.140625" style="429" bestFit="1" customWidth="1"/>
    <col min="9" max="9" width="11" style="429" customWidth="1"/>
    <col min="10" max="10" width="14.85546875" style="429" customWidth="1"/>
    <col min="11" max="11" width="10.42578125" style="429" customWidth="1"/>
    <col min="12" max="12" width="18.5703125" style="429" customWidth="1"/>
    <col min="13" max="13" width="9.140625" style="429" customWidth="1"/>
    <col min="14" max="14" width="17.28515625" style="429" customWidth="1"/>
    <col min="15" max="15" width="13" style="429" customWidth="1"/>
    <col min="16" max="16" width="9.28515625" style="429" customWidth="1"/>
    <col min="17" max="17" width="16.85546875" style="429" customWidth="1"/>
    <col min="18" max="18" width="15.5703125" style="429" customWidth="1"/>
    <col min="19" max="19" width="12.5703125" style="429" customWidth="1"/>
    <col min="20" max="16384" width="9" style="429"/>
  </cols>
  <sheetData>
    <row r="1" spans="1:19" x14ac:dyDescent="0.25">
      <c r="A1" s="542" t="s">
        <v>726</v>
      </c>
      <c r="E1" s="390"/>
    </row>
    <row r="3" spans="1:19" ht="14.25" customHeight="1" x14ac:dyDescent="0.25">
      <c r="B3" s="543" t="s">
        <v>127</v>
      </c>
      <c r="C3" s="543"/>
      <c r="D3" s="543"/>
      <c r="E3" s="543"/>
      <c r="F3" s="543"/>
      <c r="H3" s="543" t="s">
        <v>844</v>
      </c>
      <c r="I3" s="543"/>
      <c r="J3" s="543"/>
      <c r="K3" s="514"/>
      <c r="L3" s="514"/>
      <c r="M3" s="415"/>
      <c r="N3" s="415"/>
    </row>
    <row r="4" spans="1:19" x14ac:dyDescent="0.25">
      <c r="B4" s="544">
        <f>+'Example 2 Assumptions Summary '!E5</f>
        <v>168000</v>
      </c>
      <c r="C4" s="437" t="s">
        <v>742</v>
      </c>
      <c r="H4" s="545">
        <f>+S25</f>
        <v>1283623.5789473681</v>
      </c>
      <c r="I4" s="429" t="s">
        <v>91</v>
      </c>
      <c r="M4" s="436"/>
      <c r="N4" s="436"/>
    </row>
    <row r="5" spans="1:19" x14ac:dyDescent="0.25">
      <c r="B5" s="546">
        <f>+'Example 1 Assumptions Summary '!F8</f>
        <v>2.5000000000000001E-2</v>
      </c>
      <c r="C5" s="437" t="s">
        <v>58</v>
      </c>
      <c r="H5" s="547">
        <f>+B9</f>
        <v>-977804</v>
      </c>
      <c r="I5" s="436" t="s">
        <v>92</v>
      </c>
      <c r="M5" s="436"/>
      <c r="N5" s="436"/>
    </row>
    <row r="6" spans="1:19" ht="16.5" thickBot="1" x14ac:dyDescent="0.3">
      <c r="B6" s="548">
        <f>ROUND(-PV(B5,1,B4),0)</f>
        <v>163902</v>
      </c>
      <c r="C6" s="437" t="s">
        <v>862</v>
      </c>
      <c r="H6" s="549">
        <f>SUM(H4:H5)</f>
        <v>305819.57894736808</v>
      </c>
      <c r="I6" s="436" t="s">
        <v>93</v>
      </c>
    </row>
    <row r="7" spans="1:19" ht="16.5" thickTop="1" x14ac:dyDescent="0.25">
      <c r="B7" s="548"/>
      <c r="C7" s="550" t="s">
        <v>716</v>
      </c>
      <c r="H7" s="429" t="s">
        <v>768</v>
      </c>
      <c r="N7" s="449"/>
      <c r="O7" s="436"/>
    </row>
    <row r="8" spans="1:19" x14ac:dyDescent="0.25">
      <c r="B8" s="548">
        <f>+F26</f>
        <v>1141706</v>
      </c>
      <c r="C8" s="437" t="s">
        <v>90</v>
      </c>
      <c r="H8" s="551" t="s">
        <v>766</v>
      </c>
      <c r="N8" s="449"/>
      <c r="O8" s="436"/>
    </row>
    <row r="9" spans="1:19" ht="16.5" thickBot="1" x14ac:dyDescent="0.3">
      <c r="B9" s="552">
        <f>+B6-B8</f>
        <v>-977804</v>
      </c>
      <c r="C9" s="437" t="s">
        <v>89</v>
      </c>
      <c r="H9" s="551" t="s">
        <v>767</v>
      </c>
      <c r="N9" s="436"/>
      <c r="O9" s="436"/>
      <c r="P9" s="436"/>
      <c r="Q9" s="436"/>
    </row>
    <row r="10" spans="1:19" ht="16.5" thickTop="1" x14ac:dyDescent="0.25">
      <c r="N10" s="441"/>
      <c r="O10" s="441"/>
      <c r="P10" s="441"/>
      <c r="Q10" s="441"/>
    </row>
    <row r="11" spans="1:19" x14ac:dyDescent="0.25">
      <c r="H11" s="553">
        <f>+'Ex. 1 Calcs - District'!R35</f>
        <v>120000</v>
      </c>
      <c r="I11" s="444" t="s">
        <v>717</v>
      </c>
      <c r="N11" s="436"/>
      <c r="O11" s="473"/>
      <c r="P11" s="454"/>
      <c r="Q11" s="554"/>
    </row>
    <row r="12" spans="1:19" x14ac:dyDescent="0.25">
      <c r="B12" s="532"/>
      <c r="N12" s="436"/>
      <c r="O12" s="555"/>
      <c r="P12" s="454"/>
      <c r="Q12" s="554"/>
    </row>
    <row r="13" spans="1:19" x14ac:dyDescent="0.25">
      <c r="B13" s="532"/>
      <c r="D13" s="556" t="s">
        <v>111</v>
      </c>
      <c r="E13" s="556"/>
      <c r="N13" s="436"/>
      <c r="O13" s="555"/>
      <c r="P13" s="454"/>
      <c r="Q13" s="554"/>
    </row>
    <row r="14" spans="1:19" s="557" customFormat="1" x14ac:dyDescent="0.25">
      <c r="B14" s="558"/>
      <c r="C14" s="450"/>
      <c r="D14" s="450"/>
      <c r="E14" s="450"/>
      <c r="F14" s="450"/>
      <c r="O14" s="512">
        <f>SUM(O19:O49)-O17</f>
        <v>0</v>
      </c>
      <c r="P14" s="455"/>
      <c r="R14" s="512"/>
    </row>
    <row r="15" spans="1:19" x14ac:dyDescent="0.25">
      <c r="B15" s="725" t="s">
        <v>46</v>
      </c>
      <c r="C15" s="726"/>
      <c r="D15" s="726"/>
      <c r="E15" s="726"/>
      <c r="F15" s="727"/>
      <c r="G15" s="730" t="s">
        <v>667</v>
      </c>
      <c r="H15" s="730"/>
      <c r="I15" s="730"/>
      <c r="J15" s="730"/>
      <c r="K15" s="730"/>
      <c r="L15" s="730"/>
      <c r="N15" s="559" t="s">
        <v>45</v>
      </c>
      <c r="O15" s="559"/>
      <c r="P15" s="529"/>
      <c r="Q15" s="725" t="s">
        <v>47</v>
      </c>
      <c r="R15" s="726"/>
      <c r="S15" s="727"/>
    </row>
    <row r="16" spans="1:19" s="423" customFormat="1" ht="48.4" customHeight="1" x14ac:dyDescent="0.25">
      <c r="B16" s="728" t="s">
        <v>7</v>
      </c>
      <c r="C16" s="728" t="s">
        <v>6</v>
      </c>
      <c r="D16" s="560" t="s">
        <v>8</v>
      </c>
      <c r="E16" s="728" t="s">
        <v>4</v>
      </c>
      <c r="F16" s="728" t="s">
        <v>5</v>
      </c>
      <c r="G16" s="728" t="s">
        <v>737</v>
      </c>
      <c r="H16" s="728" t="s">
        <v>739</v>
      </c>
      <c r="I16" s="729" t="s">
        <v>182</v>
      </c>
      <c r="J16" s="729" t="s">
        <v>179</v>
      </c>
      <c r="K16" s="729" t="s">
        <v>180</v>
      </c>
      <c r="L16" s="729" t="s">
        <v>668</v>
      </c>
      <c r="N16" s="561"/>
      <c r="O16" s="562" t="s">
        <v>17</v>
      </c>
      <c r="P16" s="563"/>
      <c r="Q16" s="561"/>
      <c r="R16" s="562" t="s">
        <v>719</v>
      </c>
      <c r="S16" s="562" t="str">
        <f>'Ex. 1 Calcs - District'!S13</f>
        <v>Remaining Balance</v>
      </c>
    </row>
    <row r="17" spans="1:20" s="423" customFormat="1" ht="14.65" customHeight="1" thickBot="1" x14ac:dyDescent="0.3">
      <c r="B17" s="728"/>
      <c r="C17" s="729"/>
      <c r="D17" s="564">
        <f>+B5</f>
        <v>2.5000000000000001E-2</v>
      </c>
      <c r="E17" s="728"/>
      <c r="F17" s="728"/>
      <c r="G17" s="728"/>
      <c r="H17" s="728"/>
      <c r="I17" s="731"/>
      <c r="J17" s="731"/>
      <c r="K17" s="731"/>
      <c r="L17" s="731"/>
      <c r="N17" s="561" t="s">
        <v>18</v>
      </c>
      <c r="O17" s="565">
        <f>+'Example 1 Assumptions Summary '!E11</f>
        <v>1000000</v>
      </c>
      <c r="P17" s="566"/>
      <c r="Q17" s="561" t="s">
        <v>718</v>
      </c>
      <c r="R17" s="565">
        <f>+H6-H11</f>
        <v>185819.57894736808</v>
      </c>
      <c r="S17" s="565"/>
    </row>
    <row r="18" spans="1:20" ht="16.5" thickBot="1" x14ac:dyDescent="0.3">
      <c r="B18" s="567"/>
      <c r="C18" s="568">
        <f>SUM(C19:C39)</f>
        <v>1416000</v>
      </c>
      <c r="D18" s="569"/>
      <c r="E18" s="444"/>
      <c r="F18" s="570"/>
      <c r="G18" s="571"/>
      <c r="H18" s="571"/>
      <c r="I18" s="571"/>
      <c r="J18" s="571"/>
      <c r="K18" s="571"/>
      <c r="L18" s="571"/>
      <c r="N18" s="561" t="s">
        <v>817</v>
      </c>
      <c r="O18" s="398">
        <f>+'Example 1 Assumptions Summary '!E12</f>
        <v>30</v>
      </c>
      <c r="P18" s="422"/>
      <c r="Q18" s="561" t="str">
        <f>'Ex. 1 Calcs - District'!Q15</f>
        <v>Life (Yrs.):</v>
      </c>
      <c r="R18" s="398">
        <v>2</v>
      </c>
      <c r="S18" s="572">
        <f>'Ex. 1 Calcs - District'!S15</f>
        <v>1962404</v>
      </c>
    </row>
    <row r="19" spans="1:20" ht="16.5" thickBot="1" x14ac:dyDescent="0.3">
      <c r="A19" s="429">
        <v>1</v>
      </c>
      <c r="B19" s="573">
        <f>'Ex. 1 Calcs - District'!B16</f>
        <v>41091</v>
      </c>
      <c r="C19" s="574">
        <f>'Ex. 1 Calcs - District'!C16</f>
        <v>240000</v>
      </c>
      <c r="D19" s="575">
        <f>'Ex. 1 Calcs - District'!D16</f>
        <v>0</v>
      </c>
      <c r="E19" s="576">
        <f>'Ex. 1 Calcs - District'!E16</f>
        <v>240000</v>
      </c>
      <c r="F19" s="577">
        <f>'Ex. 1 Calcs - District'!F16</f>
        <v>1722404</v>
      </c>
      <c r="G19" s="751"/>
      <c r="H19" s="752"/>
      <c r="I19" s="752"/>
      <c r="J19" s="752"/>
      <c r="K19" s="752"/>
      <c r="L19" s="753"/>
      <c r="M19" s="436"/>
      <c r="N19" s="578" t="s">
        <v>60</v>
      </c>
      <c r="O19" s="570">
        <f>+$O$17/$O$18</f>
        <v>33333.333333333336</v>
      </c>
      <c r="P19" s="441"/>
      <c r="Q19" s="579" t="s">
        <v>60</v>
      </c>
      <c r="R19" s="575">
        <f>'Ex. 1 Calcs - District'!R16</f>
        <v>96968.631578947374</v>
      </c>
      <c r="S19" s="575">
        <f>'Ex. 1 Calcs - District'!S16</f>
        <v>1865435.3684210526</v>
      </c>
    </row>
    <row r="20" spans="1:20" x14ac:dyDescent="0.25">
      <c r="A20" s="429">
        <v>2</v>
      </c>
      <c r="B20" s="573">
        <f>'Ex. 1 Calcs - District'!B17</f>
        <v>41456</v>
      </c>
      <c r="C20" s="574">
        <f>'Ex. 1 Calcs - District'!C17</f>
        <v>120000</v>
      </c>
      <c r="D20" s="574">
        <f>'Ex. 1 Calcs - District'!D17</f>
        <v>43060</v>
      </c>
      <c r="E20" s="574">
        <f>'Ex. 1 Calcs - District'!E17</f>
        <v>76940</v>
      </c>
      <c r="F20" s="574">
        <f>'Ex. 1 Calcs - District'!F17</f>
        <v>1645464</v>
      </c>
      <c r="G20" s="754"/>
      <c r="H20" s="755"/>
      <c r="I20" s="755"/>
      <c r="J20" s="755"/>
      <c r="K20" s="755"/>
      <c r="L20" s="756"/>
      <c r="M20" s="436"/>
      <c r="N20" s="470">
        <v>2014</v>
      </c>
      <c r="O20" s="465">
        <f t="shared" ref="O20:O49" si="0">+$O$17/$O$18</f>
        <v>33333.333333333336</v>
      </c>
      <c r="P20" s="444"/>
      <c r="Q20" s="580">
        <v>2014</v>
      </c>
      <c r="R20" s="574">
        <f>'Ex. 1 Calcs - District'!R17</f>
        <v>96968.631578947374</v>
      </c>
      <c r="S20" s="574">
        <f>'Ex. 1 Calcs - District'!S17</f>
        <v>1768466.7368421052</v>
      </c>
    </row>
    <row r="21" spans="1:20" x14ac:dyDescent="0.25">
      <c r="A21" s="429">
        <v>3</v>
      </c>
      <c r="B21" s="573">
        <f>'Ex. 1 Calcs - District'!B18</f>
        <v>41821</v>
      </c>
      <c r="C21" s="574">
        <f>'Ex. 1 Calcs - District'!C18</f>
        <v>120000</v>
      </c>
      <c r="D21" s="574">
        <f>'Ex. 1 Calcs - District'!D18</f>
        <v>41137</v>
      </c>
      <c r="E21" s="574">
        <f>'Ex. 1 Calcs - District'!E18</f>
        <v>78863</v>
      </c>
      <c r="F21" s="574">
        <f>'Ex. 1 Calcs - District'!F18</f>
        <v>1566601</v>
      </c>
      <c r="G21" s="754"/>
      <c r="H21" s="755"/>
      <c r="I21" s="755"/>
      <c r="J21" s="755"/>
      <c r="K21" s="755"/>
      <c r="L21" s="756"/>
      <c r="M21" s="436"/>
      <c r="N21" s="470">
        <v>2015</v>
      </c>
      <c r="O21" s="465">
        <f t="shared" si="0"/>
        <v>33333.333333333336</v>
      </c>
      <c r="P21" s="444"/>
      <c r="Q21" s="580">
        <v>2015</v>
      </c>
      <c r="R21" s="574">
        <f>'Ex. 1 Calcs - District'!R18</f>
        <v>96968.631578947374</v>
      </c>
      <c r="S21" s="574">
        <f>'Ex. 1 Calcs - District'!S18</f>
        <v>1671498.1052631577</v>
      </c>
    </row>
    <row r="22" spans="1:20" ht="14.25" customHeight="1" x14ac:dyDescent="0.25">
      <c r="A22" s="429">
        <v>4</v>
      </c>
      <c r="B22" s="573">
        <f>'Ex. 1 Calcs - District'!B19</f>
        <v>42186</v>
      </c>
      <c r="C22" s="574">
        <f>'Ex. 1 Calcs - District'!C19</f>
        <v>120000</v>
      </c>
      <c r="D22" s="574">
        <f>'Ex. 1 Calcs - District'!D19</f>
        <v>39165</v>
      </c>
      <c r="E22" s="574">
        <f>'Ex. 1 Calcs - District'!E19</f>
        <v>80835</v>
      </c>
      <c r="F22" s="574">
        <f>'Ex. 1 Calcs - District'!F19</f>
        <v>1485766</v>
      </c>
      <c r="G22" s="754"/>
      <c r="H22" s="755"/>
      <c r="I22" s="755"/>
      <c r="J22" s="755"/>
      <c r="K22" s="755"/>
      <c r="L22" s="756"/>
      <c r="M22" s="436"/>
      <c r="N22" s="470">
        <v>2016</v>
      </c>
      <c r="O22" s="465">
        <f t="shared" si="0"/>
        <v>33333.333333333336</v>
      </c>
      <c r="P22" s="444"/>
      <c r="Q22" s="580">
        <v>2016</v>
      </c>
      <c r="R22" s="574">
        <f>'Ex. 1 Calcs - District'!R19</f>
        <v>96968.631578947374</v>
      </c>
      <c r="S22" s="574">
        <f>'Ex. 1 Calcs - District'!S19</f>
        <v>1574529.4736842103</v>
      </c>
    </row>
    <row r="23" spans="1:20" ht="14.25" customHeight="1" x14ac:dyDescent="0.25">
      <c r="A23" s="429">
        <v>5</v>
      </c>
      <c r="B23" s="573">
        <f>'Ex. 1 Calcs - District'!B20</f>
        <v>42552</v>
      </c>
      <c r="C23" s="574">
        <f>'Ex. 1 Calcs - District'!C20</f>
        <v>120000</v>
      </c>
      <c r="D23" s="574">
        <f>'Ex. 1 Calcs - District'!D20</f>
        <v>37144</v>
      </c>
      <c r="E23" s="574">
        <f>'Ex. 1 Calcs - District'!E20</f>
        <v>82856</v>
      </c>
      <c r="F23" s="574">
        <f>'Ex. 1 Calcs - District'!F20</f>
        <v>1402910</v>
      </c>
      <c r="G23" s="754"/>
      <c r="H23" s="755"/>
      <c r="I23" s="755"/>
      <c r="J23" s="755"/>
      <c r="K23" s="755"/>
      <c r="L23" s="756"/>
      <c r="M23" s="436"/>
      <c r="N23" s="470">
        <v>2017</v>
      </c>
      <c r="O23" s="465">
        <f t="shared" si="0"/>
        <v>33333.333333333336</v>
      </c>
      <c r="P23" s="444"/>
      <c r="Q23" s="580">
        <v>2017</v>
      </c>
      <c r="R23" s="574">
        <f>'Ex. 1 Calcs - District'!R20</f>
        <v>96968.631578947374</v>
      </c>
      <c r="S23" s="574">
        <f>'Ex. 1 Calcs - District'!S20</f>
        <v>1477560.8421052629</v>
      </c>
    </row>
    <row r="24" spans="1:20" ht="14.65" customHeight="1" thickBot="1" x14ac:dyDescent="0.3">
      <c r="A24" s="429">
        <v>6</v>
      </c>
      <c r="B24" s="573">
        <f>'Ex. 1 Calcs - District'!B21</f>
        <v>42917</v>
      </c>
      <c r="C24" s="574">
        <f>'Ex. 1 Calcs - District'!C21</f>
        <v>120000</v>
      </c>
      <c r="D24" s="574">
        <f>'Ex. 1 Calcs - District'!D21</f>
        <v>35073</v>
      </c>
      <c r="E24" s="574">
        <f>'Ex. 1 Calcs - District'!E21</f>
        <v>84927</v>
      </c>
      <c r="F24" s="574">
        <f>'Ex. 1 Calcs - District'!F21</f>
        <v>1317983</v>
      </c>
      <c r="G24" s="754"/>
      <c r="H24" s="755"/>
      <c r="I24" s="755"/>
      <c r="J24" s="755"/>
      <c r="K24" s="755"/>
      <c r="L24" s="756"/>
      <c r="M24" s="436"/>
      <c r="N24" s="470">
        <v>2018</v>
      </c>
      <c r="O24" s="465">
        <f t="shared" si="0"/>
        <v>33333.333333333336</v>
      </c>
      <c r="P24" s="444"/>
      <c r="Q24" s="580">
        <v>2018</v>
      </c>
      <c r="R24" s="574">
        <f>'Ex. 1 Calcs - District'!R21</f>
        <v>96968.631578947374</v>
      </c>
      <c r="S24" s="574">
        <f>'Ex. 1 Calcs - District'!S21</f>
        <v>1380592.2105263155</v>
      </c>
    </row>
    <row r="25" spans="1:20" ht="14.65" customHeight="1" thickBot="1" x14ac:dyDescent="0.3">
      <c r="A25" s="429">
        <v>7</v>
      </c>
      <c r="B25" s="573">
        <f>'Ex. 1 Calcs - District'!B22</f>
        <v>43282</v>
      </c>
      <c r="C25" s="574">
        <f>'Ex. 1 Calcs - District'!C22</f>
        <v>120000</v>
      </c>
      <c r="D25" s="574">
        <f>'Ex. 1 Calcs - District'!D22</f>
        <v>32950</v>
      </c>
      <c r="E25" s="574">
        <f>'Ex. 1 Calcs - District'!E22</f>
        <v>87050</v>
      </c>
      <c r="F25" s="574">
        <f>'Ex. 1 Calcs - District'!F22</f>
        <v>1230933</v>
      </c>
      <c r="G25" s="757"/>
      <c r="H25" s="758"/>
      <c r="I25" s="758"/>
      <c r="J25" s="758"/>
      <c r="K25" s="758"/>
      <c r="L25" s="759"/>
      <c r="M25" s="436"/>
      <c r="N25" s="470">
        <v>2019</v>
      </c>
      <c r="O25" s="465">
        <f t="shared" si="0"/>
        <v>33333.333333333336</v>
      </c>
      <c r="P25" s="444"/>
      <c r="Q25" s="581">
        <v>2019</v>
      </c>
      <c r="R25" s="582">
        <f>'Ex. 1 Calcs - District'!R22</f>
        <v>96968.631578947374</v>
      </c>
      <c r="S25" s="583">
        <f>'Ex. 1 Calcs - District'!S22</f>
        <v>1283623.5789473681</v>
      </c>
    </row>
    <row r="26" spans="1:20" ht="14.65" customHeight="1" thickBot="1" x14ac:dyDescent="0.3">
      <c r="A26" s="429">
        <v>8</v>
      </c>
      <c r="B26" s="584">
        <f>'Ex. 1 Calcs - District'!B23</f>
        <v>43647</v>
      </c>
      <c r="C26" s="585">
        <f>'Ex. 1 Calcs - District'!C23</f>
        <v>120000</v>
      </c>
      <c r="D26" s="585">
        <f>'Ex. 1 Calcs - District'!D23</f>
        <v>30773</v>
      </c>
      <c r="E26" s="582">
        <f>'Ex. 1 Calcs - District'!E23</f>
        <v>89227</v>
      </c>
      <c r="F26" s="586">
        <f>'Ex. 1 Calcs - District'!F23</f>
        <v>1141706</v>
      </c>
      <c r="G26" s="587"/>
      <c r="H26" s="465">
        <f>+'Example 2 Assumptions Summary '!E5</f>
        <v>168000</v>
      </c>
      <c r="I26" s="465">
        <f>+H26-C26</f>
        <v>48000</v>
      </c>
      <c r="J26" s="465">
        <f>+'Example 2 Assumptions Summary '!F16</f>
        <v>24000</v>
      </c>
      <c r="K26" s="471">
        <f>+H26+J26</f>
        <v>192000</v>
      </c>
      <c r="L26" s="471">
        <f>+I26+J26</f>
        <v>72000</v>
      </c>
      <c r="M26" s="436"/>
      <c r="N26" s="749" t="s">
        <v>186</v>
      </c>
      <c r="O26" s="750"/>
      <c r="P26" s="444"/>
      <c r="Q26" s="578" t="s">
        <v>187</v>
      </c>
      <c r="R26" s="588"/>
      <c r="S26" s="589">
        <f>+H6</f>
        <v>305819.57894736808</v>
      </c>
      <c r="T26" s="436"/>
    </row>
    <row r="27" spans="1:20" ht="14.65" customHeight="1" thickBot="1" x14ac:dyDescent="0.3">
      <c r="B27" s="590" t="s">
        <v>636</v>
      </c>
      <c r="C27" s="465">
        <f>+B4</f>
        <v>168000</v>
      </c>
      <c r="D27" s="591"/>
      <c r="E27" s="592"/>
      <c r="F27" s="586">
        <f>+B6</f>
        <v>163902</v>
      </c>
      <c r="G27" s="587"/>
      <c r="H27" s="465"/>
      <c r="I27" s="465"/>
      <c r="J27" s="465"/>
      <c r="K27" s="471"/>
      <c r="L27" s="471"/>
      <c r="M27" s="436"/>
      <c r="N27" s="470">
        <v>2020</v>
      </c>
      <c r="O27" s="465">
        <f t="shared" si="0"/>
        <v>33333.333333333336</v>
      </c>
      <c r="P27" s="444"/>
      <c r="Q27" s="470">
        <v>2020</v>
      </c>
      <c r="R27" s="465">
        <f>+R17/R18</f>
        <v>92909.789473684039</v>
      </c>
      <c r="S27" s="465">
        <f>+S26-R27</f>
        <v>212909.78947368404</v>
      </c>
    </row>
    <row r="28" spans="1:20" ht="14.25" customHeight="1" x14ac:dyDescent="0.25">
      <c r="A28" s="429">
        <v>9</v>
      </c>
      <c r="B28" s="593">
        <v>44013</v>
      </c>
      <c r="C28" s="465">
        <f>+B4</f>
        <v>168000</v>
      </c>
      <c r="D28" s="465">
        <f>+F27*$D$17</f>
        <v>4097.55</v>
      </c>
      <c r="E28" s="465">
        <f t="shared" ref="E28" si="1">ROUND(+C28-D28,0)</f>
        <v>163902</v>
      </c>
      <c r="F28" s="465">
        <f>+F27-E28</f>
        <v>0</v>
      </c>
      <c r="G28" s="594">
        <f>+'Example 2 Assumptions Summary '!E11</f>
        <v>-0.15</v>
      </c>
      <c r="H28" s="465">
        <f>+'Example 2 Assumptions Summary '!F11</f>
        <v>142800</v>
      </c>
      <c r="I28" s="601">
        <f t="shared" ref="I28" si="2">+H28-C28</f>
        <v>-25200</v>
      </c>
      <c r="J28" s="465">
        <f>+'Example 2 Assumptions Summary '!F17</f>
        <v>24500</v>
      </c>
      <c r="K28" s="471">
        <f t="shared" ref="K28" si="3">+H28+J28</f>
        <v>167300</v>
      </c>
      <c r="L28" s="602">
        <f t="shared" ref="L28:L29" si="4">+I28+J28</f>
        <v>-700</v>
      </c>
      <c r="M28" s="436"/>
      <c r="N28" s="470">
        <v>2021</v>
      </c>
      <c r="O28" s="465">
        <f t="shared" si="0"/>
        <v>33333.333333333336</v>
      </c>
      <c r="P28" s="444"/>
      <c r="Q28" s="470">
        <v>2021</v>
      </c>
      <c r="R28" s="465">
        <f>+R17/2</f>
        <v>92909.789473684039</v>
      </c>
      <c r="S28" s="465">
        <f>+S27-R28</f>
        <v>120000</v>
      </c>
    </row>
    <row r="29" spans="1:20" ht="14.25" customHeight="1" x14ac:dyDescent="0.25">
      <c r="A29" s="429">
        <v>10</v>
      </c>
      <c r="B29" s="595">
        <v>44378</v>
      </c>
      <c r="C29" s="639">
        <v>0</v>
      </c>
      <c r="D29" s="639">
        <f>+F28*$D$17</f>
        <v>0</v>
      </c>
      <c r="E29" s="639">
        <f>ROUND(+C29-D29,0)</f>
        <v>0</v>
      </c>
      <c r="F29" s="639">
        <f t="shared" ref="F29" si="5">+F28-E29</f>
        <v>0</v>
      </c>
      <c r="G29" s="596">
        <f>+'Example 2 Assumptions Summary '!E13</f>
        <v>0.05</v>
      </c>
      <c r="H29" s="541">
        <f>+'Example 2 Assumptions Summary '!F13</f>
        <v>29940</v>
      </c>
      <c r="I29" s="541">
        <f>+H29-C29</f>
        <v>29940</v>
      </c>
      <c r="J29" s="541">
        <f>+'Example 2 Assumptions Summary '!F18</f>
        <v>25000</v>
      </c>
      <c r="K29" s="477">
        <f>+H29+J29</f>
        <v>54940</v>
      </c>
      <c r="L29" s="477">
        <f t="shared" si="4"/>
        <v>54940</v>
      </c>
      <c r="M29" s="436"/>
      <c r="N29" s="470">
        <v>2022</v>
      </c>
      <c r="O29" s="465">
        <f t="shared" si="0"/>
        <v>33333.333333333336</v>
      </c>
      <c r="P29" s="444"/>
      <c r="Q29" s="480">
        <v>2022</v>
      </c>
      <c r="R29" s="515">
        <f>+H11</f>
        <v>120000</v>
      </c>
      <c r="S29" s="541">
        <f>+S28-R29</f>
        <v>0</v>
      </c>
      <c r="T29" s="436"/>
    </row>
    <row r="30" spans="1:20" ht="14.25" customHeight="1" x14ac:dyDescent="0.25">
      <c r="A30" s="429">
        <v>11</v>
      </c>
      <c r="B30" s="640"/>
      <c r="C30" s="444"/>
      <c r="D30" s="444"/>
      <c r="E30" s="444"/>
      <c r="F30" s="444"/>
      <c r="G30" s="598"/>
      <c r="H30" s="598"/>
      <c r="I30" s="598"/>
      <c r="J30" s="598"/>
      <c r="K30" s="598"/>
      <c r="L30" s="598"/>
      <c r="M30" s="436"/>
      <c r="N30" s="470">
        <v>2023</v>
      </c>
      <c r="O30" s="465">
        <f t="shared" si="0"/>
        <v>33333.333333333336</v>
      </c>
      <c r="P30" s="444"/>
      <c r="Q30" s="599"/>
      <c r="R30" s="444"/>
      <c r="S30" s="444"/>
      <c r="T30" s="436"/>
    </row>
    <row r="31" spans="1:20" ht="14.25" customHeight="1" x14ac:dyDescent="0.25">
      <c r="A31" s="429">
        <v>12</v>
      </c>
      <c r="B31" s="597"/>
      <c r="C31" s="444"/>
      <c r="D31" s="444"/>
      <c r="E31" s="444"/>
      <c r="F31" s="444"/>
      <c r="G31" s="598"/>
      <c r="H31" s="598"/>
      <c r="I31" s="598"/>
      <c r="J31" s="598"/>
      <c r="K31" s="598"/>
      <c r="L31" s="598"/>
      <c r="M31" s="436"/>
      <c r="N31" s="470">
        <v>2024</v>
      </c>
      <c r="O31" s="465">
        <f t="shared" si="0"/>
        <v>33333.333333333336</v>
      </c>
      <c r="P31" s="444"/>
      <c r="S31" s="444"/>
      <c r="T31" s="436"/>
    </row>
    <row r="32" spans="1:20" ht="14.25" customHeight="1" x14ac:dyDescent="0.25">
      <c r="A32" s="429">
        <v>13</v>
      </c>
      <c r="B32" s="597"/>
      <c r="C32" s="444"/>
      <c r="D32" s="444"/>
      <c r="E32" s="444"/>
      <c r="F32" s="444"/>
      <c r="G32" s="598"/>
      <c r="H32" s="598"/>
      <c r="I32" s="598"/>
      <c r="J32" s="598"/>
      <c r="K32" s="598"/>
      <c r="L32" s="598"/>
      <c r="M32" s="436"/>
      <c r="N32" s="470">
        <v>2025</v>
      </c>
      <c r="O32" s="465">
        <f t="shared" si="0"/>
        <v>33333.333333333336</v>
      </c>
      <c r="P32" s="444"/>
      <c r="Q32" s="599"/>
      <c r="R32" s="444"/>
      <c r="S32" s="444"/>
      <c r="T32" s="436"/>
    </row>
    <row r="33" spans="1:20" ht="14.25" customHeight="1" x14ac:dyDescent="0.25">
      <c r="A33" s="429">
        <v>14</v>
      </c>
      <c r="B33" s="597"/>
      <c r="C33" s="444"/>
      <c r="D33" s="444"/>
      <c r="E33" s="444"/>
      <c r="F33" s="444"/>
      <c r="G33" s="598"/>
      <c r="H33" s="598"/>
      <c r="I33" s="598"/>
      <c r="J33" s="598"/>
      <c r="K33" s="598"/>
      <c r="L33" s="598"/>
      <c r="M33" s="436"/>
      <c r="N33" s="470">
        <v>2026</v>
      </c>
      <c r="O33" s="465">
        <f t="shared" si="0"/>
        <v>33333.333333333336</v>
      </c>
      <c r="P33" s="444"/>
      <c r="Q33" s="599"/>
      <c r="R33" s="444"/>
      <c r="S33" s="444"/>
      <c r="T33" s="436"/>
    </row>
    <row r="34" spans="1:20" ht="14.25" customHeight="1" x14ac:dyDescent="0.25">
      <c r="A34" s="429">
        <v>15</v>
      </c>
      <c r="B34" s="597"/>
      <c r="C34" s="444"/>
      <c r="D34" s="444"/>
      <c r="E34" s="444"/>
      <c r="F34" s="444"/>
      <c r="G34" s="598"/>
      <c r="H34" s="598"/>
      <c r="I34" s="598"/>
      <c r="J34" s="598"/>
      <c r="K34" s="598"/>
      <c r="L34" s="598"/>
      <c r="M34" s="436"/>
      <c r="N34" s="470">
        <v>2027</v>
      </c>
      <c r="O34" s="465">
        <f t="shared" si="0"/>
        <v>33333.333333333336</v>
      </c>
      <c r="P34" s="444"/>
      <c r="Q34" s="599"/>
      <c r="R34" s="444"/>
      <c r="S34" s="444"/>
      <c r="T34" s="436"/>
    </row>
    <row r="35" spans="1:20" ht="14.25" customHeight="1" x14ac:dyDescent="0.25">
      <c r="A35" s="429">
        <v>16</v>
      </c>
      <c r="B35" s="597"/>
      <c r="C35" s="444"/>
      <c r="D35" s="444"/>
      <c r="E35" s="444"/>
      <c r="F35" s="444"/>
      <c r="G35" s="598"/>
      <c r="H35" s="598"/>
      <c r="I35" s="598"/>
      <c r="J35" s="598"/>
      <c r="K35" s="598"/>
      <c r="L35" s="598"/>
      <c r="M35" s="436"/>
      <c r="N35" s="470">
        <v>2028</v>
      </c>
      <c r="O35" s="465">
        <f t="shared" si="0"/>
        <v>33333.333333333336</v>
      </c>
      <c r="P35" s="444"/>
      <c r="Q35" s="599"/>
      <c r="R35" s="444"/>
      <c r="S35" s="444"/>
      <c r="T35" s="436"/>
    </row>
    <row r="36" spans="1:20" ht="14.25" customHeight="1" x14ac:dyDescent="0.25">
      <c r="A36" s="429">
        <v>17</v>
      </c>
      <c r="B36" s="597"/>
      <c r="C36" s="444"/>
      <c r="D36" s="444"/>
      <c r="E36" s="444"/>
      <c r="F36" s="444"/>
      <c r="G36" s="598"/>
      <c r="H36" s="598"/>
      <c r="I36" s="598"/>
      <c r="J36" s="598"/>
      <c r="K36" s="598"/>
      <c r="L36" s="598"/>
      <c r="M36" s="436"/>
      <c r="N36" s="470">
        <v>2029</v>
      </c>
      <c r="O36" s="465">
        <f t="shared" si="0"/>
        <v>33333.333333333336</v>
      </c>
      <c r="P36" s="444"/>
      <c r="Q36" s="599"/>
      <c r="R36" s="444"/>
      <c r="S36" s="444"/>
      <c r="T36" s="436"/>
    </row>
    <row r="37" spans="1:20" ht="14.25" customHeight="1" x14ac:dyDescent="0.25">
      <c r="A37" s="429">
        <v>18</v>
      </c>
      <c r="B37" s="597"/>
      <c r="C37" s="444"/>
      <c r="D37" s="444"/>
      <c r="E37" s="444"/>
      <c r="F37" s="444"/>
      <c r="G37" s="598"/>
      <c r="H37" s="598"/>
      <c r="I37" s="598"/>
      <c r="J37" s="598"/>
      <c r="K37" s="598"/>
      <c r="L37" s="598"/>
      <c r="M37" s="436"/>
      <c r="N37" s="470">
        <v>2030</v>
      </c>
      <c r="O37" s="465">
        <f t="shared" si="0"/>
        <v>33333.333333333336</v>
      </c>
      <c r="P37" s="444"/>
      <c r="Q37" s="599"/>
      <c r="R37" s="444"/>
      <c r="S37" s="444"/>
      <c r="T37" s="436"/>
    </row>
    <row r="38" spans="1:20" ht="14.25" customHeight="1" x14ac:dyDescent="0.25">
      <c r="A38" s="429">
        <v>19</v>
      </c>
      <c r="B38" s="597"/>
      <c r="C38" s="444"/>
      <c r="D38" s="444"/>
      <c r="E38" s="444"/>
      <c r="F38" s="444"/>
      <c r="G38" s="598"/>
      <c r="H38" s="598"/>
      <c r="I38" s="598"/>
      <c r="J38" s="598"/>
      <c r="K38" s="598"/>
      <c r="L38" s="598"/>
      <c r="M38" s="436"/>
      <c r="N38" s="470">
        <v>2031</v>
      </c>
      <c r="O38" s="465">
        <f t="shared" si="0"/>
        <v>33333.333333333336</v>
      </c>
      <c r="P38" s="444"/>
      <c r="Q38" s="599"/>
      <c r="R38" s="444"/>
      <c r="S38" s="444"/>
      <c r="T38" s="436"/>
    </row>
    <row r="39" spans="1:20" x14ac:dyDescent="0.25">
      <c r="A39" s="436">
        <v>20</v>
      </c>
      <c r="B39" s="597"/>
      <c r="C39" s="444"/>
      <c r="D39" s="444"/>
      <c r="E39" s="444"/>
      <c r="F39" s="444"/>
      <c r="G39" s="436"/>
      <c r="H39" s="436"/>
      <c r="I39" s="436"/>
      <c r="J39" s="436"/>
      <c r="K39" s="436"/>
      <c r="L39" s="436"/>
      <c r="M39" s="436"/>
      <c r="N39" s="470">
        <v>2032</v>
      </c>
      <c r="O39" s="465">
        <f t="shared" si="0"/>
        <v>33333.333333333336</v>
      </c>
      <c r="P39" s="444"/>
      <c r="Q39" s="599"/>
      <c r="R39" s="444"/>
      <c r="S39" s="444"/>
      <c r="T39" s="436"/>
    </row>
    <row r="40" spans="1:20" x14ac:dyDescent="0.25">
      <c r="A40" s="429">
        <v>21</v>
      </c>
      <c r="B40" s="600"/>
      <c r="C40" s="444"/>
      <c r="D40" s="444"/>
      <c r="E40" s="444"/>
      <c r="F40" s="444"/>
      <c r="G40" s="436"/>
      <c r="H40" s="436"/>
      <c r="I40" s="436"/>
      <c r="J40" s="436"/>
      <c r="K40" s="436"/>
      <c r="L40" s="436"/>
      <c r="M40" s="436"/>
      <c r="N40" s="470">
        <v>2033</v>
      </c>
      <c r="O40" s="465">
        <f t="shared" si="0"/>
        <v>33333.333333333336</v>
      </c>
      <c r="P40" s="444"/>
      <c r="Q40" s="436"/>
      <c r="R40" s="436"/>
      <c r="S40" s="436"/>
      <c r="T40" s="436"/>
    </row>
    <row r="41" spans="1:20" x14ac:dyDescent="0.25">
      <c r="A41" s="429">
        <v>22</v>
      </c>
      <c r="B41" s="600"/>
      <c r="C41" s="444"/>
      <c r="D41" s="444"/>
      <c r="E41" s="444"/>
      <c r="F41" s="444"/>
      <c r="G41" s="436"/>
      <c r="H41" s="436"/>
      <c r="I41" s="436"/>
      <c r="J41" s="436"/>
      <c r="K41" s="436"/>
      <c r="L41" s="436"/>
      <c r="M41" s="436"/>
      <c r="N41" s="470">
        <v>2034</v>
      </c>
      <c r="O41" s="465">
        <f t="shared" si="0"/>
        <v>33333.333333333336</v>
      </c>
      <c r="P41" s="444"/>
    </row>
    <row r="42" spans="1:20" x14ac:dyDescent="0.25">
      <c r="A42" s="429">
        <v>23</v>
      </c>
      <c r="B42" s="600"/>
      <c r="C42" s="444"/>
      <c r="D42" s="444"/>
      <c r="E42" s="444"/>
      <c r="F42" s="444"/>
      <c r="G42" s="436"/>
      <c r="H42" s="436"/>
      <c r="I42" s="436"/>
      <c r="J42" s="436"/>
      <c r="K42" s="436"/>
      <c r="L42" s="436"/>
      <c r="M42" s="436"/>
      <c r="N42" s="470">
        <v>2035</v>
      </c>
      <c r="O42" s="465">
        <f t="shared" si="0"/>
        <v>33333.333333333336</v>
      </c>
      <c r="P42" s="444"/>
    </row>
    <row r="43" spans="1:20" x14ac:dyDescent="0.25">
      <c r="A43" s="429">
        <v>24</v>
      </c>
      <c r="B43" s="600"/>
      <c r="C43" s="444"/>
      <c r="D43" s="444"/>
      <c r="E43" s="444"/>
      <c r="F43" s="444"/>
      <c r="G43" s="436"/>
      <c r="H43" s="436"/>
      <c r="I43" s="436"/>
      <c r="J43" s="436"/>
      <c r="K43" s="436"/>
      <c r="L43" s="436"/>
      <c r="M43" s="436"/>
      <c r="N43" s="470">
        <v>2036</v>
      </c>
      <c r="O43" s="465">
        <f t="shared" si="0"/>
        <v>33333.333333333336</v>
      </c>
      <c r="P43" s="444"/>
    </row>
    <row r="44" spans="1:20" x14ac:dyDescent="0.25">
      <c r="A44" s="429">
        <v>25</v>
      </c>
      <c r="B44" s="600"/>
      <c r="C44" s="444"/>
      <c r="D44" s="444"/>
      <c r="E44" s="444"/>
      <c r="F44" s="444"/>
      <c r="G44" s="436"/>
      <c r="H44" s="436"/>
      <c r="I44" s="436"/>
      <c r="J44" s="436"/>
      <c r="K44" s="436"/>
      <c r="L44" s="436"/>
      <c r="M44" s="436"/>
      <c r="N44" s="470">
        <v>2037</v>
      </c>
      <c r="O44" s="465">
        <f t="shared" si="0"/>
        <v>33333.333333333336</v>
      </c>
      <c r="P44" s="444"/>
    </row>
    <row r="45" spans="1:20" x14ac:dyDescent="0.25">
      <c r="A45" s="429">
        <v>26</v>
      </c>
      <c r="B45" s="600"/>
      <c r="C45" s="444"/>
      <c r="D45" s="444"/>
      <c r="E45" s="444"/>
      <c r="F45" s="444"/>
      <c r="G45" s="436"/>
      <c r="H45" s="436"/>
      <c r="I45" s="436"/>
      <c r="J45" s="436"/>
      <c r="K45" s="436"/>
      <c r="L45" s="436"/>
      <c r="M45" s="436"/>
      <c r="N45" s="470">
        <v>2038</v>
      </c>
      <c r="O45" s="465">
        <f t="shared" si="0"/>
        <v>33333.333333333336</v>
      </c>
      <c r="P45" s="444"/>
    </row>
    <row r="46" spans="1:20" x14ac:dyDescent="0.25">
      <c r="A46" s="429">
        <v>27</v>
      </c>
      <c r="B46" s="600"/>
      <c r="C46" s="444"/>
      <c r="D46" s="444"/>
      <c r="E46" s="444"/>
      <c r="F46" s="444"/>
      <c r="G46" s="436"/>
      <c r="H46" s="436"/>
      <c r="I46" s="436"/>
      <c r="J46" s="436"/>
      <c r="K46" s="436"/>
      <c r="L46" s="436"/>
      <c r="M46" s="436"/>
      <c r="N46" s="470">
        <v>2039</v>
      </c>
      <c r="O46" s="465">
        <f t="shared" si="0"/>
        <v>33333.333333333336</v>
      </c>
      <c r="P46" s="444"/>
    </row>
    <row r="47" spans="1:20" x14ac:dyDescent="0.25">
      <c r="A47" s="429">
        <v>28</v>
      </c>
      <c r="B47" s="600"/>
      <c r="C47" s="444"/>
      <c r="D47" s="444"/>
      <c r="E47" s="444"/>
      <c r="F47" s="444"/>
      <c r="G47" s="436"/>
      <c r="H47" s="436"/>
      <c r="I47" s="436"/>
      <c r="J47" s="436"/>
      <c r="K47" s="436"/>
      <c r="L47" s="436"/>
      <c r="M47" s="436"/>
      <c r="N47" s="470">
        <v>2040</v>
      </c>
      <c r="O47" s="465">
        <f t="shared" si="0"/>
        <v>33333.333333333336</v>
      </c>
      <c r="P47" s="444"/>
    </row>
    <row r="48" spans="1:20" x14ac:dyDescent="0.25">
      <c r="A48" s="429">
        <v>29</v>
      </c>
      <c r="B48" s="600"/>
      <c r="C48" s="444"/>
      <c r="D48" s="444"/>
      <c r="E48" s="444"/>
      <c r="F48" s="444"/>
      <c r="G48" s="436"/>
      <c r="H48" s="436"/>
      <c r="I48" s="436"/>
      <c r="J48" s="436"/>
      <c r="K48" s="436"/>
      <c r="L48" s="436"/>
      <c r="M48" s="436"/>
      <c r="N48" s="470">
        <v>2041</v>
      </c>
      <c r="O48" s="465">
        <f t="shared" si="0"/>
        <v>33333.333333333336</v>
      </c>
      <c r="P48" s="444"/>
    </row>
    <row r="49" spans="1:16" x14ac:dyDescent="0.25">
      <c r="A49" s="429">
        <v>30</v>
      </c>
      <c r="B49" s="600"/>
      <c r="C49" s="444"/>
      <c r="D49" s="444"/>
      <c r="E49" s="444"/>
      <c r="F49" s="444"/>
      <c r="G49" s="436"/>
      <c r="H49" s="436"/>
      <c r="I49" s="436"/>
      <c r="J49" s="436"/>
      <c r="K49" s="436"/>
      <c r="L49" s="436"/>
      <c r="M49" s="436"/>
      <c r="N49" s="480">
        <v>2042</v>
      </c>
      <c r="O49" s="541">
        <f t="shared" si="0"/>
        <v>33333.333333333336</v>
      </c>
      <c r="P49" s="444"/>
    </row>
    <row r="50" spans="1:16" x14ac:dyDescent="0.25">
      <c r="B50" s="600"/>
      <c r="C50" s="444"/>
      <c r="D50" s="444"/>
      <c r="E50" s="444"/>
      <c r="F50" s="444"/>
      <c r="G50" s="436"/>
      <c r="H50" s="436"/>
      <c r="I50" s="436"/>
      <c r="J50" s="436"/>
      <c r="K50" s="436"/>
      <c r="L50" s="436"/>
      <c r="M50" s="436"/>
      <c r="N50" s="599"/>
      <c r="O50" s="444"/>
      <c r="P50" s="444"/>
    </row>
    <row r="51" spans="1:16" x14ac:dyDescent="0.25">
      <c r="B51" s="600"/>
      <c r="C51" s="444"/>
      <c r="D51" s="444"/>
      <c r="E51" s="444"/>
      <c r="F51" s="444"/>
      <c r="G51" s="436"/>
      <c r="H51" s="436"/>
      <c r="I51" s="436"/>
      <c r="J51" s="436"/>
      <c r="K51" s="436"/>
      <c r="L51" s="436"/>
      <c r="M51" s="436"/>
      <c r="N51" s="599"/>
      <c r="O51" s="444"/>
      <c r="P51" s="444"/>
    </row>
    <row r="52" spans="1:16" x14ac:dyDescent="0.25">
      <c r="B52" s="600"/>
      <c r="C52" s="444"/>
      <c r="D52" s="444"/>
      <c r="E52" s="444"/>
      <c r="F52" s="444"/>
      <c r="G52" s="436"/>
      <c r="H52" s="436"/>
      <c r="I52" s="436"/>
      <c r="J52" s="436"/>
      <c r="K52" s="436"/>
      <c r="L52" s="436"/>
      <c r="M52" s="436"/>
      <c r="N52" s="599"/>
      <c r="O52" s="444"/>
      <c r="P52" s="444"/>
    </row>
    <row r="53" spans="1:16" x14ac:dyDescent="0.25">
      <c r="B53" s="600"/>
      <c r="C53" s="444"/>
      <c r="D53" s="444"/>
      <c r="E53" s="444"/>
      <c r="F53" s="444"/>
      <c r="G53" s="436"/>
      <c r="H53" s="436"/>
      <c r="I53" s="436"/>
      <c r="J53" s="436"/>
      <c r="K53" s="436"/>
      <c r="L53" s="436"/>
      <c r="M53" s="436"/>
      <c r="N53" s="599"/>
      <c r="O53" s="441"/>
      <c r="P53" s="444"/>
    </row>
    <row r="54" spans="1:16" x14ac:dyDescent="0.25">
      <c r="B54" s="600"/>
      <c r="C54" s="444"/>
      <c r="D54" s="444"/>
      <c r="E54" s="444"/>
      <c r="F54" s="444"/>
      <c r="G54" s="436"/>
      <c r="H54" s="436"/>
      <c r="I54" s="436"/>
      <c r="J54" s="436"/>
      <c r="K54" s="436"/>
      <c r="L54" s="436"/>
      <c r="M54" s="436"/>
      <c r="N54" s="599"/>
      <c r="O54" s="441"/>
      <c r="P54" s="441"/>
    </row>
    <row r="55" spans="1:16" x14ac:dyDescent="0.25">
      <c r="B55" s="600"/>
      <c r="C55" s="444"/>
      <c r="D55" s="444"/>
      <c r="E55" s="444"/>
      <c r="F55" s="444"/>
      <c r="G55" s="436"/>
      <c r="H55" s="436"/>
      <c r="I55" s="436"/>
      <c r="J55" s="436"/>
      <c r="K55" s="436"/>
      <c r="L55" s="436"/>
      <c r="M55" s="436"/>
      <c r="N55" s="599"/>
      <c r="O55" s="441"/>
      <c r="P55" s="441"/>
    </row>
    <row r="56" spans="1:16" x14ac:dyDescent="0.25">
      <c r="B56" s="600"/>
      <c r="C56" s="444"/>
      <c r="D56" s="444"/>
      <c r="E56" s="444"/>
      <c r="F56" s="444"/>
      <c r="G56" s="436"/>
      <c r="H56" s="436"/>
      <c r="I56" s="436"/>
      <c r="J56" s="436"/>
      <c r="K56" s="436"/>
      <c r="L56" s="436"/>
      <c r="M56" s="436"/>
      <c r="N56" s="436"/>
      <c r="O56" s="441"/>
      <c r="P56" s="441"/>
    </row>
    <row r="57" spans="1:16" x14ac:dyDescent="0.25">
      <c r="B57" s="600"/>
      <c r="C57" s="444"/>
      <c r="D57" s="444"/>
      <c r="E57" s="444"/>
      <c r="F57" s="444"/>
      <c r="G57" s="436"/>
      <c r="H57" s="436"/>
      <c r="I57" s="436"/>
      <c r="J57" s="436"/>
      <c r="K57" s="436"/>
      <c r="L57" s="436"/>
      <c r="M57" s="436"/>
      <c r="P57" s="444"/>
    </row>
    <row r="58" spans="1:16" x14ac:dyDescent="0.25">
      <c r="B58" s="600"/>
      <c r="C58" s="444"/>
      <c r="D58" s="444"/>
      <c r="E58" s="444"/>
      <c r="F58" s="444"/>
      <c r="G58" s="436"/>
      <c r="H58" s="436"/>
      <c r="I58" s="436"/>
      <c r="J58" s="436"/>
      <c r="K58" s="436"/>
      <c r="L58" s="436"/>
      <c r="M58" s="436"/>
      <c r="P58" s="444"/>
    </row>
    <row r="59" spans="1:16" x14ac:dyDescent="0.25">
      <c r="B59" s="600"/>
      <c r="C59" s="444"/>
      <c r="D59" s="444"/>
      <c r="E59" s="444"/>
      <c r="F59" s="444"/>
      <c r="G59" s="436"/>
      <c r="H59" s="436"/>
      <c r="I59" s="436"/>
      <c r="J59" s="436"/>
      <c r="K59" s="436"/>
      <c r="L59" s="436"/>
      <c r="M59" s="436"/>
      <c r="P59" s="444"/>
    </row>
    <row r="60" spans="1:16" x14ac:dyDescent="0.25">
      <c r="B60" s="600"/>
      <c r="C60" s="444"/>
      <c r="D60" s="444"/>
      <c r="E60" s="444"/>
      <c r="F60" s="444"/>
      <c r="G60" s="436"/>
      <c r="H60" s="436"/>
      <c r="I60" s="436"/>
      <c r="J60" s="436"/>
      <c r="K60" s="436"/>
      <c r="L60" s="436"/>
      <c r="M60" s="436"/>
      <c r="P60" s="444"/>
    </row>
    <row r="61" spans="1:16" x14ac:dyDescent="0.25">
      <c r="B61" s="600"/>
      <c r="C61" s="444"/>
      <c r="D61" s="444"/>
      <c r="E61" s="444"/>
      <c r="F61" s="444"/>
      <c r="G61" s="436"/>
      <c r="H61" s="436"/>
      <c r="I61" s="436"/>
      <c r="J61" s="436"/>
      <c r="K61" s="436"/>
      <c r="L61" s="436"/>
      <c r="M61" s="436"/>
      <c r="P61" s="444"/>
    </row>
    <row r="62" spans="1:16" x14ac:dyDescent="0.25">
      <c r="B62" s="600"/>
      <c r="C62" s="444"/>
      <c r="D62" s="444"/>
      <c r="E62" s="444"/>
      <c r="F62" s="444"/>
      <c r="G62" s="436"/>
      <c r="H62" s="436"/>
      <c r="I62" s="436"/>
      <c r="J62" s="436"/>
      <c r="K62" s="436"/>
      <c r="L62" s="436"/>
      <c r="M62" s="436"/>
      <c r="P62" s="444"/>
    </row>
    <row r="63" spans="1:16" x14ac:dyDescent="0.25">
      <c r="B63" s="600"/>
      <c r="C63" s="444"/>
      <c r="D63" s="444"/>
      <c r="E63" s="444"/>
      <c r="F63" s="444"/>
      <c r="G63" s="436"/>
      <c r="H63" s="436"/>
      <c r="I63" s="436"/>
      <c r="J63" s="436"/>
      <c r="K63" s="436"/>
      <c r="L63" s="436"/>
      <c r="M63" s="436"/>
      <c r="P63" s="444"/>
    </row>
    <row r="64" spans="1:16" x14ac:dyDescent="0.25">
      <c r="C64" s="444"/>
      <c r="D64" s="444"/>
      <c r="E64" s="444"/>
      <c r="F64" s="444"/>
      <c r="G64" s="436"/>
      <c r="H64" s="436"/>
      <c r="I64" s="436"/>
      <c r="J64" s="436"/>
      <c r="K64" s="436"/>
      <c r="L64" s="436"/>
      <c r="M64" s="436"/>
      <c r="P64" s="444"/>
    </row>
    <row r="65" spans="3:16" x14ac:dyDescent="0.25">
      <c r="C65" s="444"/>
      <c r="D65" s="444"/>
      <c r="E65" s="444"/>
      <c r="F65" s="444"/>
      <c r="G65" s="436"/>
      <c r="H65" s="436"/>
      <c r="I65" s="436"/>
      <c r="J65" s="436"/>
      <c r="K65" s="436"/>
      <c r="L65" s="436"/>
      <c r="M65" s="436"/>
      <c r="P65" s="444"/>
    </row>
    <row r="66" spans="3:16" x14ac:dyDescent="0.25">
      <c r="C66" s="444"/>
      <c r="D66" s="444"/>
      <c r="E66" s="444"/>
      <c r="F66" s="444"/>
      <c r="G66" s="436"/>
      <c r="H66" s="436"/>
      <c r="I66" s="436"/>
      <c r="J66" s="436"/>
      <c r="K66" s="436"/>
      <c r="L66" s="436"/>
      <c r="M66" s="436"/>
      <c r="P66" s="444"/>
    </row>
    <row r="67" spans="3:16" x14ac:dyDescent="0.25">
      <c r="C67" s="444"/>
      <c r="D67" s="444"/>
      <c r="E67" s="444"/>
      <c r="F67" s="444"/>
      <c r="G67" s="436"/>
      <c r="H67" s="436"/>
      <c r="I67" s="436"/>
      <c r="J67" s="436"/>
      <c r="K67" s="436"/>
      <c r="L67" s="436"/>
      <c r="M67" s="436"/>
      <c r="P67" s="444"/>
    </row>
    <row r="68" spans="3:16" x14ac:dyDescent="0.25">
      <c r="C68" s="444"/>
      <c r="D68" s="444"/>
      <c r="E68" s="444"/>
      <c r="F68" s="444"/>
      <c r="G68" s="436"/>
      <c r="H68" s="436"/>
      <c r="I68" s="436"/>
      <c r="J68" s="436"/>
      <c r="K68" s="436"/>
      <c r="L68" s="436"/>
      <c r="M68" s="436"/>
      <c r="P68" s="444"/>
    </row>
    <row r="69" spans="3:16" x14ac:dyDescent="0.25">
      <c r="C69" s="444"/>
      <c r="D69" s="444"/>
      <c r="E69" s="444"/>
      <c r="F69" s="444"/>
      <c r="G69" s="436"/>
      <c r="H69" s="436"/>
      <c r="I69" s="436"/>
      <c r="J69" s="436"/>
      <c r="K69" s="436"/>
      <c r="L69" s="436"/>
      <c r="M69" s="436"/>
      <c r="P69" s="444"/>
    </row>
    <row r="70" spans="3:16" x14ac:dyDescent="0.25">
      <c r="C70" s="444"/>
      <c r="D70" s="444"/>
      <c r="E70" s="444"/>
      <c r="F70" s="444"/>
      <c r="G70" s="436"/>
      <c r="H70" s="436"/>
      <c r="I70" s="436"/>
      <c r="J70" s="436"/>
      <c r="K70" s="436"/>
      <c r="L70" s="436"/>
      <c r="M70" s="436"/>
      <c r="P70" s="444"/>
    </row>
    <row r="71" spans="3:16" x14ac:dyDescent="0.25">
      <c r="C71" s="444"/>
      <c r="D71" s="444"/>
      <c r="E71" s="444"/>
      <c r="F71" s="444"/>
      <c r="G71" s="436"/>
      <c r="H71" s="436"/>
      <c r="I71" s="436"/>
      <c r="J71" s="436"/>
      <c r="K71" s="436"/>
      <c r="L71" s="436"/>
      <c r="M71" s="436"/>
      <c r="P71" s="444"/>
    </row>
    <row r="72" spans="3:16" x14ac:dyDescent="0.25">
      <c r="C72" s="444"/>
      <c r="D72" s="444"/>
      <c r="E72" s="444"/>
      <c r="F72" s="444"/>
      <c r="G72" s="436"/>
      <c r="H72" s="436"/>
      <c r="I72" s="436"/>
      <c r="J72" s="436"/>
      <c r="K72" s="436"/>
      <c r="L72" s="436"/>
      <c r="M72" s="436"/>
      <c r="P72" s="444"/>
    </row>
    <row r="73" spans="3:16" x14ac:dyDescent="0.25">
      <c r="C73" s="444"/>
      <c r="D73" s="444"/>
      <c r="E73" s="444"/>
      <c r="F73" s="444"/>
      <c r="G73" s="436"/>
      <c r="H73" s="436"/>
      <c r="I73" s="436"/>
      <c r="J73" s="436"/>
      <c r="K73" s="436"/>
      <c r="L73" s="436"/>
      <c r="M73" s="436"/>
      <c r="P73" s="444"/>
    </row>
    <row r="74" spans="3:16" x14ac:dyDescent="0.25">
      <c r="C74" s="444"/>
      <c r="D74" s="444"/>
      <c r="E74" s="444"/>
      <c r="F74" s="444"/>
      <c r="G74" s="436"/>
      <c r="H74" s="436"/>
      <c r="I74" s="436"/>
      <c r="J74" s="436"/>
      <c r="K74" s="436"/>
      <c r="L74" s="436"/>
      <c r="M74" s="436"/>
      <c r="P74" s="444"/>
    </row>
    <row r="75" spans="3:16" x14ac:dyDescent="0.25">
      <c r="C75" s="444"/>
      <c r="D75" s="444"/>
      <c r="E75" s="444"/>
      <c r="F75" s="444"/>
      <c r="G75" s="436"/>
      <c r="H75" s="436"/>
      <c r="I75" s="436"/>
      <c r="J75" s="436"/>
      <c r="K75" s="436"/>
      <c r="L75" s="436"/>
      <c r="M75" s="436"/>
      <c r="P75" s="444"/>
    </row>
    <row r="76" spans="3:16" x14ac:dyDescent="0.25">
      <c r="C76" s="444"/>
      <c r="D76" s="444"/>
      <c r="E76" s="444"/>
      <c r="F76" s="444"/>
      <c r="G76" s="436"/>
      <c r="H76" s="436"/>
      <c r="I76" s="436"/>
      <c r="J76" s="436"/>
      <c r="K76" s="436"/>
      <c r="L76" s="436"/>
      <c r="M76" s="436"/>
      <c r="P76" s="444"/>
    </row>
    <row r="77" spans="3:16" x14ac:dyDescent="0.25">
      <c r="C77" s="444"/>
      <c r="D77" s="444"/>
      <c r="E77" s="444"/>
      <c r="F77" s="444"/>
      <c r="G77" s="436"/>
      <c r="H77" s="436"/>
      <c r="I77" s="436"/>
      <c r="J77" s="436"/>
      <c r="K77" s="436"/>
      <c r="L77" s="436"/>
      <c r="M77" s="436"/>
      <c r="P77" s="444"/>
    </row>
    <row r="78" spans="3:16" x14ac:dyDescent="0.25">
      <c r="C78" s="444"/>
      <c r="D78" s="444"/>
      <c r="E78" s="444"/>
      <c r="F78" s="444"/>
      <c r="G78" s="436"/>
      <c r="H78" s="436"/>
      <c r="I78" s="436"/>
      <c r="J78" s="436"/>
      <c r="K78" s="436"/>
      <c r="L78" s="436"/>
      <c r="M78" s="436"/>
      <c r="P78" s="444"/>
    </row>
    <row r="79" spans="3:16" x14ac:dyDescent="0.25">
      <c r="C79" s="444"/>
      <c r="D79" s="444"/>
      <c r="E79" s="444"/>
      <c r="F79" s="444"/>
      <c r="G79" s="436"/>
      <c r="H79" s="436"/>
      <c r="I79" s="436"/>
      <c r="J79" s="436"/>
      <c r="K79" s="436"/>
      <c r="L79" s="436"/>
      <c r="M79" s="436"/>
      <c r="P79" s="444"/>
    </row>
    <row r="80" spans="3:16" x14ac:dyDescent="0.25">
      <c r="C80" s="444"/>
      <c r="D80" s="444"/>
      <c r="E80" s="444"/>
      <c r="F80" s="444"/>
      <c r="G80" s="436"/>
      <c r="H80" s="436"/>
      <c r="I80" s="436"/>
      <c r="J80" s="436"/>
      <c r="K80" s="436"/>
      <c r="L80" s="436"/>
      <c r="M80" s="436"/>
      <c r="P80" s="444"/>
    </row>
    <row r="81" spans="3:16" x14ac:dyDescent="0.25">
      <c r="C81" s="444"/>
      <c r="D81" s="444"/>
      <c r="E81" s="444"/>
      <c r="F81" s="444"/>
      <c r="G81" s="436"/>
      <c r="H81" s="436"/>
      <c r="I81" s="436"/>
      <c r="J81" s="436"/>
      <c r="K81" s="436"/>
      <c r="L81" s="436"/>
      <c r="M81" s="436"/>
      <c r="P81" s="444"/>
    </row>
    <row r="82" spans="3:16" x14ac:dyDescent="0.25">
      <c r="C82" s="444"/>
      <c r="D82" s="444"/>
      <c r="E82" s="444"/>
      <c r="F82" s="444"/>
      <c r="G82" s="436"/>
      <c r="H82" s="436"/>
      <c r="I82" s="436"/>
      <c r="J82" s="436"/>
      <c r="K82" s="436"/>
      <c r="L82" s="436"/>
      <c r="M82" s="436"/>
      <c r="P82" s="444"/>
    </row>
    <row r="83" spans="3:16" x14ac:dyDescent="0.25">
      <c r="C83" s="444"/>
      <c r="D83" s="444"/>
      <c r="E83" s="444"/>
      <c r="F83" s="444"/>
      <c r="G83" s="436"/>
      <c r="H83" s="436"/>
      <c r="I83" s="436"/>
      <c r="J83" s="436"/>
      <c r="K83" s="436"/>
      <c r="L83" s="436"/>
      <c r="M83" s="436"/>
      <c r="P83" s="444"/>
    </row>
    <row r="84" spans="3:16" x14ac:dyDescent="0.25">
      <c r="C84" s="444"/>
      <c r="D84" s="444"/>
      <c r="E84" s="444"/>
      <c r="F84" s="444"/>
      <c r="G84" s="436"/>
      <c r="H84" s="436"/>
      <c r="I84" s="436"/>
      <c r="J84" s="436"/>
      <c r="K84" s="436"/>
      <c r="L84" s="436"/>
      <c r="M84" s="436"/>
      <c r="P84" s="444"/>
    </row>
    <row r="85" spans="3:16" x14ac:dyDescent="0.25">
      <c r="C85" s="444"/>
      <c r="D85" s="444"/>
      <c r="E85" s="444"/>
      <c r="F85" s="444"/>
      <c r="G85" s="436"/>
      <c r="H85" s="436"/>
      <c r="I85" s="436"/>
      <c r="J85" s="436"/>
      <c r="K85" s="436"/>
      <c r="L85" s="436"/>
      <c r="M85" s="436"/>
      <c r="P85" s="444"/>
    </row>
    <row r="86" spans="3:16" x14ac:dyDescent="0.25">
      <c r="C86" s="444"/>
      <c r="D86" s="444"/>
      <c r="E86" s="444"/>
      <c r="F86" s="444"/>
      <c r="G86" s="436"/>
      <c r="H86" s="436"/>
      <c r="I86" s="436"/>
      <c r="J86" s="436"/>
      <c r="K86" s="436"/>
      <c r="L86" s="436"/>
      <c r="M86" s="436"/>
      <c r="P86" s="444"/>
    </row>
    <row r="87" spans="3:16" x14ac:dyDescent="0.25">
      <c r="C87" s="444"/>
      <c r="D87" s="444"/>
      <c r="E87" s="444"/>
      <c r="F87" s="444"/>
      <c r="G87" s="436"/>
      <c r="H87" s="436"/>
      <c r="I87" s="436"/>
      <c r="J87" s="436"/>
      <c r="K87" s="436"/>
      <c r="L87" s="436"/>
      <c r="M87" s="436"/>
      <c r="P87" s="444"/>
    </row>
    <row r="88" spans="3:16" x14ac:dyDescent="0.25">
      <c r="C88" s="444"/>
      <c r="D88" s="444"/>
      <c r="E88" s="444"/>
      <c r="F88" s="444"/>
      <c r="G88" s="436"/>
      <c r="H88" s="436"/>
      <c r="I88" s="436"/>
      <c r="J88" s="436"/>
      <c r="K88" s="436"/>
      <c r="L88" s="436"/>
      <c r="M88" s="436"/>
      <c r="P88" s="444"/>
    </row>
    <row r="89" spans="3:16" x14ac:dyDescent="0.25">
      <c r="C89" s="444"/>
      <c r="D89" s="444"/>
      <c r="E89" s="444"/>
      <c r="F89" s="444"/>
      <c r="G89" s="436"/>
      <c r="H89" s="436"/>
      <c r="I89" s="436"/>
      <c r="J89" s="436"/>
      <c r="K89" s="436"/>
      <c r="L89" s="436"/>
      <c r="M89" s="436"/>
      <c r="P89" s="444"/>
    </row>
  </sheetData>
  <mergeCells count="15">
    <mergeCell ref="N26:O26"/>
    <mergeCell ref="G15:L15"/>
    <mergeCell ref="G16:G17"/>
    <mergeCell ref="H16:H17"/>
    <mergeCell ref="I16:I17"/>
    <mergeCell ref="J16:J17"/>
    <mergeCell ref="K16:K17"/>
    <mergeCell ref="L16:L17"/>
    <mergeCell ref="G19:L25"/>
    <mergeCell ref="Q15:S15"/>
    <mergeCell ref="B15:F15"/>
    <mergeCell ref="B16:B17"/>
    <mergeCell ref="C16:C17"/>
    <mergeCell ref="E16:E17"/>
    <mergeCell ref="F16:F17"/>
  </mergeCells>
  <pageMargins left="0.7" right="0.7" top="0.75" bottom="0.75" header="0.3" footer="0.3"/>
  <pageSetup paperSize="5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88"/>
  <sheetViews>
    <sheetView tabSelected="1" workbookViewId="0">
      <pane xSplit="1" ySplit="4" topLeftCell="B6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9" defaultRowHeight="15.75" x14ac:dyDescent="0.25"/>
  <cols>
    <col min="1" max="1" width="12.140625" style="498" customWidth="1"/>
    <col min="2" max="2" width="5.5703125" style="498" customWidth="1"/>
    <col min="3" max="3" width="5.5703125" style="389" customWidth="1"/>
    <col min="4" max="4" width="43" style="389" customWidth="1"/>
    <col min="5" max="6" width="10.85546875" style="388" bestFit="1" customWidth="1"/>
    <col min="7" max="7" width="3.7109375" style="389" customWidth="1"/>
    <col min="8" max="8" width="5.5703125" style="389" customWidth="1"/>
    <col min="9" max="9" width="48.85546875" style="389" customWidth="1"/>
    <col min="10" max="10" width="12.5703125" style="388" customWidth="1"/>
    <col min="11" max="11" width="10.85546875" style="388" bestFit="1" customWidth="1"/>
    <col min="12" max="12" width="4.7109375" style="389" customWidth="1"/>
    <col min="13" max="13" width="5.5703125" style="389" customWidth="1"/>
    <col min="14" max="14" width="42.42578125" style="389" customWidth="1"/>
    <col min="15" max="16" width="10.85546875" style="388" bestFit="1" customWidth="1"/>
    <col min="17" max="16384" width="9" style="389"/>
  </cols>
  <sheetData>
    <row r="1" spans="1:17" ht="14.65" customHeight="1" x14ac:dyDescent="0.25">
      <c r="A1" s="732" t="s">
        <v>157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</row>
    <row r="2" spans="1:17" x14ac:dyDescent="0.25">
      <c r="A2" s="498" t="s">
        <v>726</v>
      </c>
      <c r="H2" s="390"/>
    </row>
    <row r="3" spans="1:17" x14ac:dyDescent="0.25">
      <c r="A3" s="389"/>
      <c r="B3" s="389"/>
      <c r="C3" s="393"/>
      <c r="D3" s="393"/>
      <c r="E3" s="392"/>
      <c r="F3" s="392"/>
      <c r="G3" s="393"/>
      <c r="H3" s="393"/>
      <c r="I3" s="393"/>
      <c r="J3" s="392"/>
      <c r="K3" s="392"/>
      <c r="L3" s="393"/>
      <c r="M3" s="393"/>
      <c r="N3" s="393"/>
      <c r="O3" s="392"/>
      <c r="P3" s="392"/>
      <c r="Q3" s="393"/>
    </row>
    <row r="4" spans="1:17" ht="15.75" customHeight="1" x14ac:dyDescent="0.25">
      <c r="A4" s="391"/>
      <c r="B4" s="391"/>
      <c r="C4" s="737" t="s">
        <v>19</v>
      </c>
      <c r="D4" s="738"/>
      <c r="E4" s="738"/>
      <c r="F4" s="739"/>
      <c r="G4" s="393"/>
      <c r="H4" s="737" t="s">
        <v>818</v>
      </c>
      <c r="I4" s="738"/>
      <c r="J4" s="738"/>
      <c r="K4" s="739"/>
      <c r="L4" s="393"/>
      <c r="M4" s="737" t="s">
        <v>20</v>
      </c>
      <c r="N4" s="738"/>
      <c r="O4" s="738"/>
      <c r="P4" s="739"/>
      <c r="Q4" s="393"/>
    </row>
    <row r="5" spans="1:17" x14ac:dyDescent="0.25">
      <c r="A5" s="391"/>
      <c r="B5" s="391"/>
      <c r="C5" s="397"/>
      <c r="D5" s="397"/>
      <c r="E5" s="395" t="s">
        <v>0</v>
      </c>
      <c r="F5" s="395" t="s">
        <v>1</v>
      </c>
      <c r="G5" s="393"/>
      <c r="H5" s="397"/>
      <c r="I5" s="397"/>
      <c r="J5" s="395" t="s">
        <v>0</v>
      </c>
      <c r="K5" s="395" t="s">
        <v>1</v>
      </c>
      <c r="L5" s="393"/>
      <c r="M5" s="397"/>
      <c r="N5" s="397"/>
      <c r="O5" s="395" t="s">
        <v>0</v>
      </c>
      <c r="P5" s="395" t="s">
        <v>1</v>
      </c>
      <c r="Q5" s="393"/>
    </row>
    <row r="6" spans="1:17" ht="14.65" customHeight="1" x14ac:dyDescent="0.25">
      <c r="A6" s="398" t="s">
        <v>94</v>
      </c>
      <c r="B6" s="422"/>
      <c r="C6" s="396"/>
      <c r="D6" s="396"/>
      <c r="E6" s="499"/>
      <c r="F6" s="499"/>
      <c r="G6" s="393"/>
      <c r="H6" s="396"/>
      <c r="I6" s="396"/>
      <c r="J6" s="499"/>
      <c r="K6" s="499"/>
      <c r="L6" s="393"/>
      <c r="M6" s="396"/>
      <c r="N6" s="396"/>
      <c r="O6" s="499"/>
      <c r="P6" s="499"/>
      <c r="Q6" s="393"/>
    </row>
    <row r="7" spans="1:17" ht="13.5" customHeight="1" x14ac:dyDescent="0.25">
      <c r="A7" s="400">
        <v>43647</v>
      </c>
      <c r="B7" s="400"/>
      <c r="C7" s="404" t="s">
        <v>2</v>
      </c>
      <c r="D7" s="404"/>
      <c r="E7" s="409">
        <f>+'Ex. 2 Calcs - District'!K26</f>
        <v>192000</v>
      </c>
      <c r="F7" s="409"/>
      <c r="G7" s="393"/>
      <c r="H7" s="493" t="s">
        <v>22</v>
      </c>
      <c r="I7" s="404"/>
      <c r="J7" s="409">
        <f>+F8</f>
        <v>30773</v>
      </c>
      <c r="K7" s="409"/>
      <c r="L7" s="393"/>
      <c r="M7" s="404" t="str">
        <f>+C7</f>
        <v>Cash</v>
      </c>
      <c r="N7" s="404"/>
      <c r="O7" s="409">
        <f>+E7</f>
        <v>192000</v>
      </c>
      <c r="P7" s="409"/>
      <c r="Q7" s="393"/>
    </row>
    <row r="8" spans="1:17" ht="13.5" customHeight="1" x14ac:dyDescent="0.25">
      <c r="A8" s="391"/>
      <c r="B8" s="391"/>
      <c r="C8" s="404"/>
      <c r="D8" s="404" t="s">
        <v>22</v>
      </c>
      <c r="E8" s="409"/>
      <c r="F8" s="409">
        <f>ROUND(+'Ex. 2 Calcs - District'!D26,0)</f>
        <v>30773</v>
      </c>
      <c r="G8" s="393"/>
      <c r="H8" s="493"/>
      <c r="I8" s="493" t="s">
        <v>27</v>
      </c>
      <c r="J8" s="409"/>
      <c r="K8" s="409">
        <f>+J7</f>
        <v>30773</v>
      </c>
      <c r="L8" s="393"/>
      <c r="M8" s="397"/>
      <c r="N8" s="404" t="str">
        <f>+D9</f>
        <v>Lease receivable</v>
      </c>
      <c r="O8" s="409"/>
      <c r="P8" s="409">
        <f>+F9</f>
        <v>89227</v>
      </c>
      <c r="Q8" s="393"/>
    </row>
    <row r="9" spans="1:17" ht="13.5" customHeight="1" x14ac:dyDescent="0.25">
      <c r="A9" s="391"/>
      <c r="B9" s="391"/>
      <c r="C9" s="404"/>
      <c r="D9" s="404" t="s">
        <v>48</v>
      </c>
      <c r="E9" s="409"/>
      <c r="F9" s="409">
        <f>ROUND(+'Ex. 2 Calcs - District'!E26,0)</f>
        <v>89227</v>
      </c>
      <c r="G9" s="393"/>
      <c r="H9" s="484" t="s">
        <v>859</v>
      </c>
      <c r="I9" s="493"/>
      <c r="J9" s="409"/>
      <c r="K9" s="409"/>
      <c r="L9" s="393"/>
      <c r="M9" s="397"/>
      <c r="N9" s="389" t="str">
        <f>+I8</f>
        <v>Interest receivable</v>
      </c>
      <c r="O9" s="389"/>
      <c r="P9" s="402">
        <f>+K8</f>
        <v>30773</v>
      </c>
      <c r="Q9" s="393"/>
    </row>
    <row r="10" spans="1:17" ht="13.5" customHeight="1" x14ac:dyDescent="0.25">
      <c r="A10" s="391"/>
      <c r="B10" s="391"/>
      <c r="C10" s="404"/>
      <c r="D10" s="493" t="s">
        <v>160</v>
      </c>
      <c r="E10" s="409"/>
      <c r="F10" s="409">
        <f>ROUND(+'Ex. 2 Calcs - District'!L26,0)</f>
        <v>72000</v>
      </c>
      <c r="G10" s="393"/>
      <c r="H10" s="484"/>
      <c r="I10" s="493"/>
      <c r="J10" s="409"/>
      <c r="K10" s="409"/>
      <c r="L10" s="393"/>
      <c r="M10" s="397"/>
      <c r="N10" s="389" t="str">
        <f>+D10</f>
        <v>Unearned revenue - lease payment</v>
      </c>
      <c r="O10" s="389"/>
      <c r="P10" s="402">
        <f>+F10</f>
        <v>72000</v>
      </c>
      <c r="Q10" s="393"/>
    </row>
    <row r="11" spans="1:17" ht="13.5" customHeight="1" x14ac:dyDescent="0.25">
      <c r="A11" s="391"/>
      <c r="B11" s="391"/>
      <c r="C11" s="405" t="s">
        <v>109</v>
      </c>
      <c r="D11" s="404"/>
      <c r="E11" s="409"/>
      <c r="F11" s="409"/>
      <c r="G11" s="393"/>
      <c r="H11" s="405"/>
      <c r="I11" s="405"/>
      <c r="J11" s="409"/>
      <c r="K11" s="409"/>
      <c r="L11" s="393"/>
      <c r="M11" s="405" t="str">
        <f>C11</f>
        <v xml:space="preserve">[To record receipt of annual rental payment from </v>
      </c>
      <c r="N11" s="404"/>
      <c r="O11" s="409"/>
      <c r="P11" s="409"/>
      <c r="Q11" s="393"/>
    </row>
    <row r="12" spans="1:17" ht="13.5" customHeight="1" x14ac:dyDescent="0.25">
      <c r="A12" s="391"/>
      <c r="B12" s="391"/>
      <c r="C12" s="405" t="s">
        <v>101</v>
      </c>
      <c r="D12" s="404"/>
      <c r="E12" s="409"/>
      <c r="F12" s="409"/>
      <c r="G12" s="393"/>
      <c r="H12" s="404"/>
      <c r="I12" s="404"/>
      <c r="J12" s="409"/>
      <c r="K12" s="409"/>
      <c r="L12" s="393"/>
      <c r="M12" s="406" t="str">
        <f>C12</f>
        <v>lessee based on actual CY 2020]</v>
      </c>
      <c r="N12" s="404"/>
      <c r="O12" s="409"/>
      <c r="P12" s="409"/>
      <c r="Q12" s="393"/>
    </row>
    <row r="13" spans="1:17" ht="13.5" customHeight="1" x14ac:dyDescent="0.25">
      <c r="A13" s="391"/>
      <c r="B13" s="391"/>
      <c r="C13" s="404"/>
      <c r="D13" s="404"/>
      <c r="E13" s="409"/>
      <c r="F13" s="409"/>
      <c r="G13" s="393"/>
      <c r="H13" s="404"/>
      <c r="I13" s="404"/>
      <c r="J13" s="409"/>
      <c r="K13" s="409"/>
      <c r="L13" s="393"/>
      <c r="M13" s="404"/>
      <c r="N13" s="404"/>
      <c r="O13" s="409"/>
      <c r="P13" s="409"/>
      <c r="Q13" s="393"/>
    </row>
    <row r="14" spans="1:17" ht="13.5" customHeight="1" x14ac:dyDescent="0.25">
      <c r="A14" s="391"/>
      <c r="B14" s="391"/>
      <c r="C14" s="404"/>
      <c r="D14" s="404"/>
      <c r="E14" s="409"/>
      <c r="F14" s="409"/>
      <c r="G14" s="393"/>
      <c r="H14" s="404"/>
      <c r="I14" s="404"/>
      <c r="J14" s="409"/>
      <c r="K14" s="409"/>
      <c r="L14" s="393"/>
      <c r="M14" s="404"/>
      <c r="N14" s="404"/>
      <c r="O14" s="409"/>
      <c r="P14" s="409"/>
      <c r="Q14" s="393"/>
    </row>
    <row r="15" spans="1:17" x14ac:dyDescent="0.25">
      <c r="A15" s="400" t="s">
        <v>95</v>
      </c>
      <c r="B15" s="400"/>
      <c r="C15" s="404" t="s">
        <v>21</v>
      </c>
      <c r="D15" s="404"/>
      <c r="E15" s="409">
        <f>ROUND(-'Ex. 2 Calcs - District'!H5,0)</f>
        <v>977804</v>
      </c>
      <c r="F15" s="409"/>
      <c r="G15" s="393"/>
      <c r="I15" s="404" t="s">
        <v>36</v>
      </c>
      <c r="L15" s="393"/>
      <c r="M15" s="389" t="str">
        <f>C15</f>
        <v>Deferred inflow of resources</v>
      </c>
      <c r="O15" s="409">
        <f>E15</f>
        <v>977804</v>
      </c>
      <c r="P15" s="409"/>
      <c r="Q15" s="393"/>
    </row>
    <row r="16" spans="1:17" x14ac:dyDescent="0.25">
      <c r="A16" s="400"/>
      <c r="B16" s="400"/>
      <c r="C16" s="397"/>
      <c r="D16" s="404" t="s">
        <v>48</v>
      </c>
      <c r="E16" s="409"/>
      <c r="F16" s="409">
        <f>-ROUND('Ex. 2 Calcs - District'!B9,0)</f>
        <v>977804</v>
      </c>
      <c r="G16" s="393"/>
      <c r="L16" s="393"/>
      <c r="M16" s="404"/>
      <c r="N16" s="404" t="str">
        <f>D16</f>
        <v>Lease receivable</v>
      </c>
      <c r="O16" s="409"/>
      <c r="P16" s="409">
        <f>F16</f>
        <v>977804</v>
      </c>
      <c r="Q16" s="393"/>
    </row>
    <row r="17" spans="1:17" x14ac:dyDescent="0.25">
      <c r="A17" s="391"/>
      <c r="B17" s="391"/>
      <c r="C17" s="405" t="s">
        <v>98</v>
      </c>
      <c r="D17" s="404"/>
      <c r="E17" s="409"/>
      <c r="F17" s="409"/>
      <c r="G17" s="393"/>
      <c r="L17" s="393"/>
      <c r="M17" s="405" t="str">
        <f>C17</f>
        <v xml:space="preserve">[To record adjustments to deferred inflow of resources and </v>
      </c>
      <c r="N17" s="404"/>
      <c r="O17" s="409"/>
      <c r="P17" s="409"/>
      <c r="Q17" s="393"/>
    </row>
    <row r="18" spans="1:17" ht="14.65" customHeight="1" x14ac:dyDescent="0.25">
      <c r="A18" s="391"/>
      <c r="B18" s="391"/>
      <c r="C18" s="405" t="s">
        <v>99</v>
      </c>
      <c r="D18" s="404"/>
      <c r="E18" s="409"/>
      <c r="F18" s="409"/>
      <c r="G18" s="393"/>
      <c r="L18" s="393"/>
      <c r="M18" s="405" t="str">
        <f>C18</f>
        <v xml:space="preserve">lease receivable due to change in term and updating of </v>
      </c>
      <c r="N18" s="404"/>
      <c r="O18" s="409"/>
      <c r="P18" s="409"/>
      <c r="Q18" s="393"/>
    </row>
    <row r="19" spans="1:17" ht="14.65" customHeight="1" x14ac:dyDescent="0.25">
      <c r="A19" s="391"/>
      <c r="B19" s="391"/>
      <c r="C19" s="405" t="s">
        <v>100</v>
      </c>
      <c r="D19" s="404"/>
      <c r="E19" s="409"/>
      <c r="F19" s="409"/>
      <c r="G19" s="393"/>
      <c r="L19" s="393"/>
      <c r="M19" s="405" t="str">
        <f>C19</f>
        <v>index used to determine variable payments]</v>
      </c>
      <c r="N19" s="404"/>
      <c r="O19" s="409"/>
      <c r="P19" s="409"/>
      <c r="Q19" s="393"/>
    </row>
    <row r="20" spans="1:17" ht="14.65" customHeight="1" x14ac:dyDescent="0.25">
      <c r="A20" s="391"/>
      <c r="B20" s="391"/>
      <c r="C20" s="405"/>
      <c r="D20" s="405"/>
      <c r="E20" s="500"/>
      <c r="F20" s="409"/>
      <c r="G20" s="393"/>
      <c r="H20" s="404"/>
      <c r="I20" s="404"/>
      <c r="J20" s="404"/>
      <c r="K20" s="409"/>
      <c r="L20" s="393"/>
      <c r="M20" s="484"/>
      <c r="N20" s="404"/>
      <c r="O20" s="409"/>
      <c r="P20" s="409"/>
      <c r="Q20" s="393"/>
    </row>
    <row r="21" spans="1:17" ht="14.65" customHeight="1" x14ac:dyDescent="0.25">
      <c r="A21" s="391"/>
      <c r="B21" s="391"/>
      <c r="C21" s="405"/>
      <c r="D21" s="405"/>
      <c r="E21" s="409"/>
      <c r="F21" s="409"/>
      <c r="G21" s="393"/>
      <c r="H21" s="501"/>
      <c r="I21" s="501"/>
      <c r="J21" s="409"/>
      <c r="K21" s="409"/>
      <c r="L21" s="393"/>
      <c r="M21" s="397"/>
      <c r="N21" s="404"/>
      <c r="O21" s="409"/>
      <c r="P21" s="409"/>
      <c r="Q21" s="393"/>
    </row>
    <row r="22" spans="1:17" s="415" customFormat="1" ht="14.65" customHeight="1" x14ac:dyDescent="0.25">
      <c r="A22" s="400" t="s">
        <v>96</v>
      </c>
      <c r="B22" s="400"/>
      <c r="C22" s="404" t="str">
        <f>+C15</f>
        <v>Deferred inflow of resources</v>
      </c>
      <c r="E22" s="409">
        <f>ROUND(+'Ex. 2 Calcs - District'!R27,0)</f>
        <v>92910</v>
      </c>
      <c r="F22" s="409"/>
      <c r="G22" s="393"/>
      <c r="H22" s="493"/>
      <c r="I22" s="404" t="s">
        <v>36</v>
      </c>
      <c r="J22" s="409"/>
      <c r="K22" s="409"/>
      <c r="L22" s="393"/>
      <c r="M22" s="404" t="str">
        <f>+C22</f>
        <v>Deferred inflow of resources</v>
      </c>
      <c r="N22" s="404"/>
      <c r="O22" s="409">
        <f>+E22</f>
        <v>92910</v>
      </c>
      <c r="P22" s="409"/>
      <c r="Q22" s="393"/>
    </row>
    <row r="23" spans="1:17" s="415" customFormat="1" ht="14.65" customHeight="1" x14ac:dyDescent="0.25">
      <c r="A23" s="400"/>
      <c r="B23" s="400"/>
      <c r="C23" s="404" t="str">
        <f>+D10</f>
        <v>Unearned revenue - lease payment</v>
      </c>
      <c r="E23" s="409">
        <f>+F10</f>
        <v>72000</v>
      </c>
      <c r="F23" s="409"/>
      <c r="G23" s="393"/>
      <c r="H23" s="493"/>
      <c r="I23" s="404"/>
      <c r="J23" s="409"/>
      <c r="K23" s="409"/>
      <c r="L23" s="393"/>
      <c r="M23" s="404" t="str">
        <f>+C23</f>
        <v>Unearned revenue - lease payment</v>
      </c>
      <c r="N23" s="404"/>
      <c r="O23" s="409">
        <f>+E23</f>
        <v>72000</v>
      </c>
      <c r="P23" s="409"/>
      <c r="Q23" s="393"/>
    </row>
    <row r="24" spans="1:17" s="415" customFormat="1" ht="14.65" customHeight="1" x14ac:dyDescent="0.25">
      <c r="A24" s="485"/>
      <c r="B24" s="485"/>
      <c r="C24" s="404"/>
      <c r="D24" s="404" t="s">
        <v>50</v>
      </c>
      <c r="E24" s="409"/>
      <c r="F24" s="409">
        <f>+E22+E23</f>
        <v>164910</v>
      </c>
      <c r="G24" s="393"/>
      <c r="H24" s="493"/>
      <c r="I24" s="493"/>
      <c r="J24" s="409"/>
      <c r="K24" s="409"/>
      <c r="L24" s="393"/>
      <c r="M24" s="397"/>
      <c r="N24" s="404" t="str">
        <f>+D24</f>
        <v>Lease revenue</v>
      </c>
      <c r="O24" s="409"/>
      <c r="P24" s="409">
        <f>+F24</f>
        <v>164910</v>
      </c>
      <c r="Q24" s="393"/>
    </row>
    <row r="25" spans="1:17" ht="14.25" customHeight="1" x14ac:dyDescent="0.25">
      <c r="A25" s="391"/>
      <c r="B25" s="391"/>
      <c r="C25" s="405" t="s">
        <v>23</v>
      </c>
      <c r="D25" s="404"/>
      <c r="E25" s="409"/>
      <c r="F25" s="409"/>
      <c r="G25" s="393"/>
      <c r="H25" s="405"/>
      <c r="I25" s="404"/>
      <c r="J25" s="409"/>
      <c r="K25" s="409"/>
      <c r="L25" s="393"/>
      <c r="M25" s="405" t="str">
        <f>+C25</f>
        <v>[To record amortization of deferred inflow of resources</v>
      </c>
      <c r="N25" s="404"/>
      <c r="O25" s="409"/>
      <c r="P25" s="409"/>
      <c r="Q25" s="393"/>
    </row>
    <row r="26" spans="1:17" x14ac:dyDescent="0.25">
      <c r="A26" s="391"/>
      <c r="B26" s="391"/>
      <c r="C26" s="405" t="s">
        <v>822</v>
      </c>
      <c r="D26" s="404"/>
      <c r="E26" s="409"/>
      <c r="F26" s="409"/>
      <c r="G26" s="393"/>
      <c r="H26" s="404"/>
      <c r="I26" s="404"/>
      <c r="J26" s="409"/>
      <c r="K26" s="409"/>
      <c r="L26" s="393"/>
      <c r="M26" s="405" t="str">
        <f>+C26</f>
        <v>associated with installment and prepayments and recognize</v>
      </c>
      <c r="N26" s="404"/>
      <c r="O26" s="409"/>
      <c r="P26" s="409"/>
      <c r="Q26" s="393"/>
    </row>
    <row r="27" spans="1:17" x14ac:dyDescent="0.25">
      <c r="A27" s="391"/>
      <c r="B27" s="391"/>
      <c r="C27" s="406" t="s">
        <v>166</v>
      </c>
      <c r="D27" s="404"/>
      <c r="E27" s="409"/>
      <c r="F27" s="409"/>
      <c r="G27" s="393"/>
      <c r="H27" s="404"/>
      <c r="I27" s="404"/>
      <c r="J27" s="409"/>
      <c r="K27" s="409"/>
      <c r="L27" s="393"/>
      <c r="M27" s="405" t="str">
        <f>+C27</f>
        <v>lease revenue]</v>
      </c>
      <c r="N27" s="404"/>
      <c r="O27" s="409"/>
      <c r="P27" s="409"/>
      <c r="Q27" s="393"/>
    </row>
    <row r="28" spans="1:17" x14ac:dyDescent="0.25">
      <c r="A28" s="391"/>
      <c r="B28" s="391"/>
      <c r="C28" s="406"/>
      <c r="D28" s="404"/>
      <c r="E28" s="409"/>
      <c r="F28" s="409"/>
      <c r="G28" s="393"/>
      <c r="H28" s="404"/>
      <c r="I28" s="404"/>
      <c r="J28" s="409"/>
      <c r="K28" s="409"/>
      <c r="L28" s="393"/>
      <c r="M28" s="405"/>
      <c r="N28" s="404"/>
      <c r="O28" s="409"/>
      <c r="P28" s="409"/>
      <c r="Q28" s="393"/>
    </row>
    <row r="29" spans="1:17" x14ac:dyDescent="0.25">
      <c r="A29" s="391"/>
      <c r="B29" s="391"/>
      <c r="D29" s="404"/>
      <c r="E29" s="409"/>
      <c r="F29" s="409"/>
      <c r="G29" s="393"/>
      <c r="H29" s="404"/>
      <c r="I29" s="404"/>
      <c r="J29" s="409"/>
      <c r="K29" s="409"/>
      <c r="L29" s="393"/>
      <c r="M29" s="404"/>
      <c r="N29" s="404"/>
      <c r="O29" s="409"/>
      <c r="P29" s="409"/>
      <c r="Q29" s="393"/>
    </row>
    <row r="30" spans="1:17" x14ac:dyDescent="0.25">
      <c r="A30" s="400" t="s">
        <v>97</v>
      </c>
      <c r="B30" s="400"/>
      <c r="C30" s="397"/>
      <c r="D30" s="404" t="s">
        <v>36</v>
      </c>
      <c r="E30" s="409"/>
      <c r="F30" s="409"/>
      <c r="G30" s="393"/>
      <c r="H30" s="493" t="s">
        <v>24</v>
      </c>
      <c r="I30" s="493"/>
      <c r="J30" s="409">
        <f>ROUND(+'Ex. 2 Calcs - District'!O27,0)</f>
        <v>33333</v>
      </c>
      <c r="K30" s="409"/>
      <c r="L30" s="393"/>
      <c r="M30" s="404" t="str">
        <f>+H30</f>
        <v>Depreciation expense</v>
      </c>
      <c r="N30" s="404"/>
      <c r="O30" s="409">
        <f>+J30</f>
        <v>33333</v>
      </c>
      <c r="P30" s="409"/>
      <c r="Q30" s="393"/>
    </row>
    <row r="31" spans="1:17" x14ac:dyDescent="0.25">
      <c r="A31" s="485"/>
      <c r="B31" s="485"/>
      <c r="C31" s="397"/>
      <c r="D31" s="404"/>
      <c r="E31" s="409"/>
      <c r="F31" s="409"/>
      <c r="G31" s="393"/>
      <c r="H31" s="493"/>
      <c r="I31" s="493" t="s">
        <v>25</v>
      </c>
      <c r="J31" s="409"/>
      <c r="K31" s="409">
        <f>+J30</f>
        <v>33333</v>
      </c>
      <c r="L31" s="393"/>
      <c r="M31" s="397"/>
      <c r="N31" s="404" t="str">
        <f>+I31</f>
        <v>Accumulated depreciation - building</v>
      </c>
      <c r="O31" s="409"/>
      <c r="P31" s="409">
        <f>+K31</f>
        <v>33333</v>
      </c>
      <c r="Q31" s="393"/>
    </row>
    <row r="32" spans="1:17" x14ac:dyDescent="0.25">
      <c r="A32" s="391"/>
      <c r="B32" s="391"/>
      <c r="C32" s="404"/>
      <c r="D32" s="404"/>
      <c r="E32" s="409"/>
      <c r="F32" s="409"/>
      <c r="G32" s="393"/>
      <c r="H32" s="405" t="s">
        <v>32</v>
      </c>
      <c r="I32" s="404"/>
      <c r="J32" s="409"/>
      <c r="K32" s="409"/>
      <c r="L32" s="393"/>
      <c r="M32" s="405" t="s">
        <v>32</v>
      </c>
      <c r="N32" s="404"/>
      <c r="O32" s="409"/>
      <c r="P32" s="409"/>
      <c r="Q32" s="393"/>
    </row>
    <row r="33" spans="1:17" x14ac:dyDescent="0.25">
      <c r="A33" s="391"/>
      <c r="B33" s="391"/>
      <c r="C33" s="404"/>
      <c r="D33" s="404"/>
      <c r="E33" s="409"/>
      <c r="F33" s="409"/>
      <c r="G33" s="393"/>
      <c r="H33" s="405"/>
      <c r="I33" s="404"/>
      <c r="J33" s="409"/>
      <c r="K33" s="409"/>
      <c r="L33" s="393"/>
      <c r="M33" s="405"/>
      <c r="N33" s="404"/>
      <c r="O33" s="409"/>
      <c r="P33" s="409"/>
      <c r="Q33" s="393"/>
    </row>
    <row r="34" spans="1:17" x14ac:dyDescent="0.25">
      <c r="A34" s="391"/>
      <c r="B34" s="391"/>
      <c r="D34" s="404"/>
      <c r="E34" s="409"/>
      <c r="F34" s="409"/>
      <c r="G34" s="393"/>
      <c r="H34" s="404"/>
      <c r="I34" s="404"/>
      <c r="J34" s="409"/>
      <c r="K34" s="409"/>
      <c r="L34" s="393"/>
      <c r="M34" s="404"/>
      <c r="N34" s="404"/>
      <c r="O34" s="409"/>
      <c r="P34" s="409"/>
      <c r="Q34" s="393"/>
    </row>
    <row r="35" spans="1:17" x14ac:dyDescent="0.25">
      <c r="A35" s="400" t="s">
        <v>720</v>
      </c>
      <c r="B35" s="400"/>
      <c r="C35" s="397"/>
      <c r="D35" s="404" t="s">
        <v>36</v>
      </c>
      <c r="E35" s="409"/>
      <c r="F35" s="409"/>
      <c r="G35" s="393"/>
      <c r="H35" s="404" t="s">
        <v>27</v>
      </c>
      <c r="I35" s="404"/>
      <c r="J35" s="409">
        <f>+K36</f>
        <v>4098</v>
      </c>
      <c r="K35" s="409"/>
      <c r="L35" s="393"/>
      <c r="M35" s="404" t="str">
        <f t="shared" ref="M35" si="0">H35</f>
        <v>Interest receivable</v>
      </c>
      <c r="N35" s="404"/>
      <c r="O35" s="388">
        <f t="shared" ref="O35" si="1">J35</f>
        <v>4098</v>
      </c>
      <c r="Q35" s="393"/>
    </row>
    <row r="36" spans="1:17" x14ac:dyDescent="0.25">
      <c r="A36" s="391"/>
      <c r="B36" s="391"/>
      <c r="C36" s="404"/>
      <c r="D36" s="404"/>
      <c r="E36" s="409"/>
      <c r="F36" s="409"/>
      <c r="G36" s="393"/>
      <c r="H36" s="405"/>
      <c r="I36" s="404" t="s">
        <v>22</v>
      </c>
      <c r="J36" s="409"/>
      <c r="K36" s="409">
        <f>ROUND(+'Ex. 2 Calcs - District'!D28,0)</f>
        <v>4098</v>
      </c>
      <c r="L36" s="393"/>
      <c r="M36" s="405"/>
      <c r="N36" s="404" t="str">
        <f t="shared" ref="N36" si="2">I36</f>
        <v>Interest income</v>
      </c>
      <c r="P36" s="388">
        <f t="shared" ref="P36" si="3">K36</f>
        <v>4098</v>
      </c>
      <c r="Q36" s="393"/>
    </row>
    <row r="37" spans="1:17" x14ac:dyDescent="0.25">
      <c r="A37" s="391"/>
      <c r="B37" s="391"/>
      <c r="C37" s="404"/>
      <c r="D37" s="404"/>
      <c r="E37" s="409"/>
      <c r="F37" s="409"/>
      <c r="G37" s="393"/>
      <c r="H37" s="405" t="s">
        <v>51</v>
      </c>
      <c r="I37" s="404"/>
      <c r="J37" s="409"/>
      <c r="K37" s="409"/>
      <c r="L37" s="393"/>
      <c r="M37" s="405" t="str">
        <f t="shared" ref="M37" si="4">H37</f>
        <v>[To accrue interest receivable on lease]</v>
      </c>
      <c r="N37" s="404"/>
      <c r="Q37" s="393"/>
    </row>
    <row r="38" spans="1:17" x14ac:dyDescent="0.25">
      <c r="A38" s="391"/>
      <c r="B38" s="391"/>
      <c r="C38" s="404"/>
      <c r="D38" s="404"/>
      <c r="E38" s="409"/>
      <c r="F38" s="409"/>
      <c r="G38" s="393"/>
      <c r="H38" s="405"/>
      <c r="I38" s="404"/>
      <c r="J38" s="409"/>
      <c r="K38" s="409"/>
      <c r="L38" s="393"/>
      <c r="M38" s="405"/>
      <c r="N38" s="404"/>
      <c r="Q38" s="393"/>
    </row>
    <row r="39" spans="1:17" x14ac:dyDescent="0.25">
      <c r="A39" s="391"/>
      <c r="B39" s="391"/>
      <c r="D39" s="404"/>
      <c r="E39" s="409"/>
      <c r="F39" s="409"/>
      <c r="G39" s="393"/>
      <c r="H39" s="404"/>
      <c r="I39" s="404"/>
      <c r="J39" s="409"/>
      <c r="K39" s="409"/>
      <c r="L39" s="393"/>
      <c r="M39" s="404"/>
      <c r="N39" s="404"/>
      <c r="O39" s="409"/>
      <c r="P39" s="409"/>
      <c r="Q39" s="393"/>
    </row>
    <row r="40" spans="1:17" x14ac:dyDescent="0.25">
      <c r="A40" s="398" t="s">
        <v>102</v>
      </c>
      <c r="B40" s="422"/>
      <c r="D40" s="404"/>
      <c r="E40" s="409"/>
      <c r="F40" s="409"/>
      <c r="G40" s="393"/>
      <c r="H40" s="404"/>
      <c r="I40" s="404"/>
      <c r="J40" s="409"/>
      <c r="K40" s="409"/>
      <c r="L40" s="393"/>
      <c r="M40" s="404"/>
      <c r="N40" s="404"/>
      <c r="O40" s="409"/>
      <c r="P40" s="409"/>
      <c r="Q40" s="393"/>
    </row>
    <row r="41" spans="1:17" ht="13.5" customHeight="1" x14ac:dyDescent="0.25">
      <c r="A41" s="400">
        <v>44013</v>
      </c>
      <c r="B41" s="400"/>
      <c r="C41" s="404" t="s">
        <v>2</v>
      </c>
      <c r="D41" s="404"/>
      <c r="E41" s="409">
        <f>+'Ex. 2 Calcs - District'!K28</f>
        <v>167300</v>
      </c>
      <c r="F41" s="409"/>
      <c r="G41" s="393"/>
      <c r="H41" s="493" t="s">
        <v>22</v>
      </c>
      <c r="I41" s="404"/>
      <c r="J41" s="409">
        <f>+F43</f>
        <v>4098</v>
      </c>
      <c r="K41" s="409"/>
      <c r="L41" s="393"/>
      <c r="M41" s="404" t="str">
        <f>+C41</f>
        <v>Cash</v>
      </c>
      <c r="N41" s="404"/>
      <c r="O41" s="409">
        <f>+E41</f>
        <v>167300</v>
      </c>
      <c r="P41" s="409"/>
      <c r="Q41" s="393"/>
    </row>
    <row r="42" spans="1:17" ht="13.5" customHeight="1" x14ac:dyDescent="0.25">
      <c r="A42" s="391"/>
      <c r="B42" s="391"/>
      <c r="C42" s="493" t="s">
        <v>160</v>
      </c>
      <c r="E42" s="409">
        <f>-ROUND(+'Ex. 2 Calcs - District'!L28,0)</f>
        <v>700</v>
      </c>
      <c r="G42" s="393"/>
      <c r="H42" s="493"/>
      <c r="I42" s="493" t="s">
        <v>27</v>
      </c>
      <c r="J42" s="409"/>
      <c r="K42" s="409">
        <f>+J41</f>
        <v>4098</v>
      </c>
      <c r="L42" s="393"/>
      <c r="M42" s="389" t="str">
        <f>+C42</f>
        <v>Unearned revenue - lease payment</v>
      </c>
      <c r="O42" s="402">
        <f>+E42</f>
        <v>700</v>
      </c>
      <c r="Q42" s="393"/>
    </row>
    <row r="43" spans="1:17" ht="13.5" customHeight="1" x14ac:dyDescent="0.25">
      <c r="A43" s="391"/>
      <c r="B43" s="391"/>
      <c r="C43" s="404"/>
      <c r="D43" s="404" t="s">
        <v>22</v>
      </c>
      <c r="E43" s="409"/>
      <c r="F43" s="409">
        <f>ROUND(+'Ex. 2 Calcs - District'!D28,0)</f>
        <v>4098</v>
      </c>
      <c r="G43" s="393"/>
      <c r="H43" s="484" t="s">
        <v>859</v>
      </c>
      <c r="I43" s="493"/>
      <c r="J43" s="409"/>
      <c r="K43" s="409"/>
      <c r="L43" s="393"/>
      <c r="M43" s="397"/>
      <c r="N43" s="404" t="str">
        <f>+D44</f>
        <v>Lease receivable</v>
      </c>
      <c r="O43" s="409"/>
      <c r="P43" s="409">
        <f>+F44</f>
        <v>163902</v>
      </c>
      <c r="Q43" s="393"/>
    </row>
    <row r="44" spans="1:17" ht="13.5" customHeight="1" x14ac:dyDescent="0.25">
      <c r="A44" s="391"/>
      <c r="B44" s="391"/>
      <c r="C44" s="404"/>
      <c r="D44" s="404" t="s">
        <v>48</v>
      </c>
      <c r="E44" s="409"/>
      <c r="F44" s="409">
        <f>ROUND(+'Ex. 2 Calcs - District'!E28,0)</f>
        <v>163902</v>
      </c>
      <c r="G44" s="393"/>
      <c r="H44" s="484"/>
      <c r="I44" s="493"/>
      <c r="J44" s="409"/>
      <c r="K44" s="409"/>
      <c r="L44" s="393"/>
      <c r="M44" s="397"/>
      <c r="N44" s="389" t="str">
        <f>+I42</f>
        <v>Interest receivable</v>
      </c>
      <c r="O44" s="389"/>
      <c r="P44" s="402">
        <f>+K42</f>
        <v>4098</v>
      </c>
      <c r="Q44" s="393"/>
    </row>
    <row r="45" spans="1:17" ht="13.5" customHeight="1" x14ac:dyDescent="0.25">
      <c r="A45" s="391"/>
      <c r="B45" s="391"/>
      <c r="C45" s="405" t="s">
        <v>820</v>
      </c>
      <c r="G45" s="393"/>
      <c r="H45" s="405"/>
      <c r="I45" s="405"/>
      <c r="J45" s="409"/>
      <c r="K45" s="409"/>
      <c r="L45" s="393"/>
      <c r="M45" s="405" t="str">
        <f>C45</f>
        <v xml:space="preserve">[To record receipt of annual installment payment from </v>
      </c>
      <c r="O45" s="389"/>
      <c r="Q45" s="393"/>
    </row>
    <row r="46" spans="1:17" ht="13.5" customHeight="1" x14ac:dyDescent="0.25">
      <c r="A46" s="391"/>
      <c r="B46" s="391"/>
      <c r="C46" s="405" t="s">
        <v>743</v>
      </c>
      <c r="D46" s="404"/>
      <c r="E46" s="409"/>
      <c r="F46" s="409"/>
      <c r="G46" s="393"/>
      <c r="H46" s="404"/>
      <c r="I46" s="404"/>
      <c r="J46" s="409"/>
      <c r="K46" s="409"/>
      <c r="L46" s="393"/>
      <c r="M46" s="406" t="str">
        <f>C46</f>
        <v>lessee based on actual CY 2020 CPPI 3%]</v>
      </c>
      <c r="N46" s="404"/>
      <c r="O46" s="409"/>
      <c r="P46" s="409"/>
      <c r="Q46" s="393"/>
    </row>
    <row r="47" spans="1:17" ht="13.5" customHeight="1" x14ac:dyDescent="0.25">
      <c r="A47" s="391"/>
      <c r="B47" s="391"/>
      <c r="D47" s="404"/>
      <c r="E47" s="409"/>
      <c r="F47" s="409"/>
      <c r="G47" s="393"/>
      <c r="H47" s="404"/>
      <c r="I47" s="404"/>
      <c r="J47" s="409"/>
      <c r="K47" s="409"/>
      <c r="L47" s="393"/>
      <c r="N47" s="404"/>
      <c r="O47" s="409"/>
      <c r="P47" s="409"/>
      <c r="Q47" s="393"/>
    </row>
    <row r="48" spans="1:17" ht="13.5" customHeight="1" x14ac:dyDescent="0.25">
      <c r="A48" s="391"/>
      <c r="B48" s="391"/>
      <c r="C48" s="404"/>
      <c r="D48" s="404"/>
      <c r="E48" s="409"/>
      <c r="F48" s="409"/>
      <c r="G48" s="393"/>
      <c r="H48" s="404"/>
      <c r="I48" s="404"/>
      <c r="J48" s="409"/>
      <c r="K48" s="409"/>
      <c r="L48" s="393"/>
      <c r="M48" s="404"/>
      <c r="N48" s="404"/>
      <c r="O48" s="409"/>
      <c r="P48" s="409"/>
      <c r="Q48" s="393"/>
    </row>
    <row r="49" spans="1:17" s="415" customFormat="1" ht="14.65" customHeight="1" x14ac:dyDescent="0.25">
      <c r="A49" s="400" t="s">
        <v>103</v>
      </c>
      <c r="B49" s="400"/>
      <c r="C49" s="404" t="str">
        <f>+C22</f>
        <v>Deferred inflow of resources</v>
      </c>
      <c r="E49" s="409">
        <f>ROUND(+'Ex. 2 Calcs - District'!R28,0)</f>
        <v>92910</v>
      </c>
      <c r="F49" s="409"/>
      <c r="G49" s="393"/>
      <c r="H49" s="493"/>
      <c r="I49" s="404" t="s">
        <v>36</v>
      </c>
      <c r="J49" s="409"/>
      <c r="K49" s="409"/>
      <c r="L49" s="393"/>
      <c r="M49" s="404" t="str">
        <f t="shared" ref="M49:P51" si="5">C49</f>
        <v>Deferred inflow of resources</v>
      </c>
      <c r="N49" s="404"/>
      <c r="O49" s="409">
        <f t="shared" si="5"/>
        <v>92910</v>
      </c>
      <c r="P49" s="409"/>
      <c r="Q49" s="393"/>
    </row>
    <row r="50" spans="1:17" s="415" customFormat="1" ht="14.65" customHeight="1" x14ac:dyDescent="0.25">
      <c r="A50" s="400"/>
      <c r="B50" s="400"/>
      <c r="D50" s="404" t="str">
        <f>+C42</f>
        <v>Unearned revenue - lease payment</v>
      </c>
      <c r="F50" s="409">
        <f>+E42</f>
        <v>700</v>
      </c>
      <c r="G50" s="393"/>
      <c r="H50" s="493"/>
      <c r="I50" s="404"/>
      <c r="J50" s="409"/>
      <c r="K50" s="409"/>
      <c r="L50" s="393"/>
      <c r="N50" s="404" t="str">
        <f>+D50</f>
        <v>Unearned revenue - lease payment</v>
      </c>
      <c r="P50" s="409">
        <f>F50</f>
        <v>700</v>
      </c>
      <c r="Q50" s="393"/>
    </row>
    <row r="51" spans="1:17" s="415" customFormat="1" ht="14.65" customHeight="1" x14ac:dyDescent="0.25">
      <c r="A51" s="485"/>
      <c r="B51" s="485"/>
      <c r="C51" s="404"/>
      <c r="D51" s="404" t="s">
        <v>50</v>
      </c>
      <c r="E51" s="409"/>
      <c r="F51" s="409">
        <f>+E49-F50</f>
        <v>92210</v>
      </c>
      <c r="G51" s="393"/>
      <c r="H51" s="493"/>
      <c r="I51" s="493"/>
      <c r="J51" s="409"/>
      <c r="K51" s="409"/>
      <c r="L51" s="393"/>
      <c r="M51" s="397"/>
      <c r="N51" s="404" t="str">
        <f t="shared" si="5"/>
        <v>Lease revenue</v>
      </c>
      <c r="O51" s="409"/>
      <c r="P51" s="409">
        <f t="shared" si="5"/>
        <v>92210</v>
      </c>
      <c r="Q51" s="393"/>
    </row>
    <row r="52" spans="1:17" ht="14.25" customHeight="1" x14ac:dyDescent="0.25">
      <c r="A52" s="391"/>
      <c r="B52" s="391"/>
      <c r="C52" s="405" t="s">
        <v>23</v>
      </c>
      <c r="D52" s="404"/>
      <c r="E52" s="409"/>
      <c r="F52" s="409"/>
      <c r="G52" s="393"/>
      <c r="H52" s="405"/>
      <c r="I52" s="404"/>
      <c r="J52" s="409"/>
      <c r="K52" s="409"/>
      <c r="L52" s="393"/>
      <c r="M52" s="405" t="str">
        <f>+C52</f>
        <v>[To record amortization of deferred inflow of resources</v>
      </c>
      <c r="N52" s="404"/>
      <c r="O52" s="409"/>
      <c r="P52" s="409"/>
      <c r="Q52" s="393"/>
    </row>
    <row r="53" spans="1:17" x14ac:dyDescent="0.25">
      <c r="A53" s="391"/>
      <c r="B53" s="391"/>
      <c r="C53" s="405" t="s">
        <v>822</v>
      </c>
      <c r="D53" s="404"/>
      <c r="E53" s="409"/>
      <c r="F53" s="409"/>
      <c r="G53" s="393"/>
      <c r="H53" s="404"/>
      <c r="I53" s="404"/>
      <c r="J53" s="409"/>
      <c r="K53" s="409"/>
      <c r="L53" s="393"/>
      <c r="M53" s="405" t="str">
        <f>+C53</f>
        <v>associated with installment and prepayments and recognize</v>
      </c>
      <c r="N53" s="404"/>
      <c r="O53" s="409"/>
      <c r="P53" s="409"/>
      <c r="Q53" s="393"/>
    </row>
    <row r="54" spans="1:17" x14ac:dyDescent="0.25">
      <c r="A54" s="391"/>
      <c r="B54" s="391"/>
      <c r="C54" s="406" t="s">
        <v>166</v>
      </c>
      <c r="D54" s="404"/>
      <c r="E54" s="409"/>
      <c r="F54" s="409"/>
      <c r="G54" s="393"/>
      <c r="H54" s="404"/>
      <c r="I54" s="404"/>
      <c r="J54" s="409"/>
      <c r="K54" s="409"/>
      <c r="L54" s="393"/>
      <c r="M54" s="405" t="str">
        <f>+C54</f>
        <v>lease revenue]</v>
      </c>
      <c r="N54" s="404"/>
      <c r="O54" s="409"/>
      <c r="P54" s="409"/>
      <c r="Q54" s="393"/>
    </row>
    <row r="55" spans="1:17" x14ac:dyDescent="0.25">
      <c r="A55" s="391"/>
      <c r="B55" s="391"/>
      <c r="D55" s="404"/>
      <c r="E55" s="409"/>
      <c r="F55" s="409"/>
      <c r="G55" s="393"/>
      <c r="H55" s="404"/>
      <c r="I55" s="404"/>
      <c r="J55" s="409"/>
      <c r="K55" s="409"/>
      <c r="L55" s="393"/>
      <c r="M55" s="404"/>
      <c r="N55" s="404"/>
      <c r="O55" s="409"/>
      <c r="P55" s="409"/>
      <c r="Q55" s="393"/>
    </row>
    <row r="56" spans="1:17" x14ac:dyDescent="0.25">
      <c r="A56" s="400" t="s">
        <v>104</v>
      </c>
      <c r="B56" s="400"/>
      <c r="C56" s="397"/>
      <c r="D56" s="404" t="s">
        <v>36</v>
      </c>
      <c r="E56" s="409"/>
      <c r="F56" s="409"/>
      <c r="G56" s="393"/>
      <c r="H56" s="493" t="s">
        <v>24</v>
      </c>
      <c r="I56" s="493"/>
      <c r="J56" s="409">
        <f>+'Ex. 2 Calcs - District'!O28</f>
        <v>33333.333333333336</v>
      </c>
      <c r="K56" s="409"/>
      <c r="L56" s="393"/>
      <c r="M56" s="404" t="str">
        <f>+H56</f>
        <v>Depreciation expense</v>
      </c>
      <c r="N56" s="404"/>
      <c r="O56" s="409">
        <f>+J56</f>
        <v>33333.333333333336</v>
      </c>
      <c r="P56" s="409"/>
      <c r="Q56" s="393"/>
    </row>
    <row r="57" spans="1:17" x14ac:dyDescent="0.25">
      <c r="A57" s="485"/>
      <c r="B57" s="485"/>
      <c r="C57" s="397"/>
      <c r="D57" s="404"/>
      <c r="E57" s="409"/>
      <c r="F57" s="409"/>
      <c r="G57" s="393"/>
      <c r="H57" s="493"/>
      <c r="I57" s="493" t="s">
        <v>25</v>
      </c>
      <c r="J57" s="409"/>
      <c r="K57" s="409">
        <f>+J56</f>
        <v>33333.333333333336</v>
      </c>
      <c r="L57" s="393"/>
      <c r="M57" s="397"/>
      <c r="N57" s="404" t="str">
        <f>+I57</f>
        <v>Accumulated depreciation - building</v>
      </c>
      <c r="O57" s="409"/>
      <c r="P57" s="409">
        <f>+K57</f>
        <v>33333.333333333336</v>
      </c>
      <c r="Q57" s="393"/>
    </row>
    <row r="58" spans="1:17" x14ac:dyDescent="0.25">
      <c r="A58" s="391"/>
      <c r="B58" s="391"/>
      <c r="C58" s="404"/>
      <c r="D58" s="404"/>
      <c r="E58" s="409"/>
      <c r="F58" s="409"/>
      <c r="G58" s="393"/>
      <c r="H58" s="405" t="s">
        <v>32</v>
      </c>
      <c r="I58" s="404"/>
      <c r="J58" s="409"/>
      <c r="K58" s="409"/>
      <c r="L58" s="393"/>
      <c r="M58" s="405" t="s">
        <v>32</v>
      </c>
      <c r="N58" s="404"/>
      <c r="O58" s="409"/>
      <c r="P58" s="409"/>
      <c r="Q58" s="393"/>
    </row>
    <row r="59" spans="1:17" x14ac:dyDescent="0.25">
      <c r="A59" s="391"/>
      <c r="B59" s="391"/>
      <c r="C59" s="404"/>
      <c r="D59" s="404"/>
      <c r="E59" s="409"/>
      <c r="F59" s="409"/>
      <c r="G59" s="393"/>
      <c r="H59" s="405"/>
      <c r="I59" s="404"/>
      <c r="J59" s="409"/>
      <c r="K59" s="409"/>
      <c r="L59" s="393"/>
      <c r="M59" s="405"/>
      <c r="N59" s="404"/>
      <c r="O59" s="409"/>
      <c r="P59" s="409"/>
      <c r="Q59" s="393"/>
    </row>
    <row r="60" spans="1:17" x14ac:dyDescent="0.25">
      <c r="A60" s="391"/>
      <c r="B60" s="391"/>
      <c r="D60" s="404"/>
      <c r="E60" s="409"/>
      <c r="F60" s="409"/>
      <c r="G60" s="393"/>
      <c r="H60" s="404"/>
      <c r="I60" s="404"/>
      <c r="J60" s="409"/>
      <c r="K60" s="409"/>
      <c r="L60" s="393"/>
      <c r="M60" s="404"/>
      <c r="N60" s="404"/>
      <c r="O60" s="409"/>
      <c r="P60" s="409"/>
      <c r="Q60" s="393"/>
    </row>
    <row r="61" spans="1:17" x14ac:dyDescent="0.25">
      <c r="A61" s="400" t="s">
        <v>105</v>
      </c>
      <c r="B61" s="400"/>
      <c r="C61" s="397"/>
      <c r="D61" s="404" t="s">
        <v>36</v>
      </c>
      <c r="E61" s="409"/>
      <c r="F61" s="409"/>
      <c r="G61" s="393"/>
      <c r="H61" s="404"/>
      <c r="I61" s="741" t="s">
        <v>729</v>
      </c>
      <c r="J61" s="742"/>
      <c r="K61" s="409"/>
      <c r="L61" s="393"/>
      <c r="M61" s="404" t="s">
        <v>36</v>
      </c>
      <c r="N61" s="404"/>
      <c r="Q61" s="393"/>
    </row>
    <row r="62" spans="1:17" x14ac:dyDescent="0.25">
      <c r="A62" s="391"/>
      <c r="B62" s="391"/>
      <c r="C62" s="404"/>
      <c r="D62" s="404"/>
      <c r="E62" s="409"/>
      <c r="F62" s="409"/>
      <c r="G62" s="393"/>
      <c r="H62" s="405"/>
      <c r="I62" s="760" t="s">
        <v>639</v>
      </c>
      <c r="J62" s="744"/>
      <c r="K62" s="409"/>
      <c r="L62" s="393"/>
      <c r="M62" s="405"/>
      <c r="N62" s="404"/>
      <c r="Q62" s="393"/>
    </row>
    <row r="63" spans="1:17" x14ac:dyDescent="0.25">
      <c r="A63" s="391"/>
      <c r="B63" s="391"/>
      <c r="C63" s="404"/>
      <c r="D63" s="404"/>
      <c r="E63" s="409"/>
      <c r="F63" s="409"/>
      <c r="G63" s="393"/>
      <c r="H63" s="405"/>
      <c r="I63" s="404"/>
      <c r="J63" s="409"/>
      <c r="K63" s="409"/>
      <c r="L63" s="393"/>
      <c r="M63" s="405"/>
      <c r="N63" s="404"/>
      <c r="Q63" s="393"/>
    </row>
    <row r="64" spans="1:17" x14ac:dyDescent="0.25">
      <c r="A64" s="398" t="s">
        <v>107</v>
      </c>
      <c r="B64" s="422"/>
      <c r="D64" s="404"/>
      <c r="E64" s="409"/>
      <c r="F64" s="409"/>
      <c r="G64" s="393"/>
      <c r="H64" s="404"/>
      <c r="I64" s="404"/>
      <c r="J64" s="409"/>
      <c r="K64" s="409"/>
      <c r="L64" s="393"/>
      <c r="M64" s="404"/>
      <c r="N64" s="404"/>
      <c r="O64" s="409"/>
      <c r="P64" s="409"/>
      <c r="Q64" s="393"/>
    </row>
    <row r="65" spans="1:85" x14ac:dyDescent="0.25">
      <c r="A65" s="400">
        <v>44378</v>
      </c>
      <c r="B65" s="400"/>
      <c r="C65" s="404" t="s">
        <v>2</v>
      </c>
      <c r="D65" s="404"/>
      <c r="E65" s="409">
        <f>+'Ex. 2 Calcs - District'!K29</f>
        <v>54940</v>
      </c>
      <c r="F65" s="409"/>
      <c r="G65" s="393"/>
      <c r="H65" s="493"/>
      <c r="I65" s="404" t="s">
        <v>36</v>
      </c>
      <c r="J65" s="409"/>
      <c r="K65" s="409"/>
      <c r="L65" s="393"/>
      <c r="M65" s="404" t="str">
        <f>+C65</f>
        <v>Cash</v>
      </c>
      <c r="N65" s="404"/>
      <c r="O65" s="409">
        <f>+E65</f>
        <v>54940</v>
      </c>
      <c r="P65" s="409"/>
      <c r="Q65" s="393"/>
    </row>
    <row r="66" spans="1:85" ht="14.65" customHeight="1" x14ac:dyDescent="0.25">
      <c r="A66" s="391"/>
      <c r="B66" s="391"/>
      <c r="C66" s="404"/>
      <c r="D66" s="404" t="str">
        <f>+C42</f>
        <v>Unearned revenue - lease payment</v>
      </c>
      <c r="E66" s="409"/>
      <c r="F66" s="409">
        <f>ROUND(+'Ex. 2 Calcs - District'!L29,0)</f>
        <v>54940</v>
      </c>
      <c r="G66" s="393"/>
      <c r="H66" s="484"/>
      <c r="I66" s="493"/>
      <c r="J66" s="409"/>
      <c r="K66" s="409"/>
      <c r="L66" s="393"/>
      <c r="M66" s="397"/>
      <c r="N66" s="389" t="str">
        <f>+D66</f>
        <v>Unearned revenue - lease payment</v>
      </c>
      <c r="O66" s="389"/>
      <c r="P66" s="402">
        <f>+F66</f>
        <v>54940</v>
      </c>
      <c r="Q66" s="393"/>
    </row>
    <row r="67" spans="1:85" ht="14.65" customHeight="1" x14ac:dyDescent="0.25">
      <c r="A67" s="391"/>
      <c r="B67" s="391"/>
      <c r="C67" s="405" t="s">
        <v>820</v>
      </c>
      <c r="D67" s="404"/>
      <c r="E67" s="409"/>
      <c r="F67" s="409"/>
      <c r="G67" s="393"/>
      <c r="H67" s="405"/>
      <c r="I67" s="405"/>
      <c r="J67" s="409"/>
      <c r="K67" s="409"/>
      <c r="L67" s="393"/>
      <c r="M67" s="405" t="str">
        <f>C67</f>
        <v xml:space="preserve">[To record receipt of annual installment payment from </v>
      </c>
      <c r="N67" s="404"/>
      <c r="O67" s="409"/>
      <c r="P67" s="409"/>
      <c r="Q67" s="393"/>
    </row>
    <row r="68" spans="1:85" ht="14.65" customHeight="1" x14ac:dyDescent="0.25">
      <c r="A68" s="391"/>
      <c r="B68" s="391"/>
      <c r="C68" s="405" t="s">
        <v>743</v>
      </c>
      <c r="D68" s="404"/>
      <c r="E68" s="409"/>
      <c r="F68" s="409"/>
      <c r="G68" s="393"/>
      <c r="H68" s="404"/>
      <c r="I68" s="404"/>
      <c r="J68" s="409"/>
      <c r="K68" s="409"/>
      <c r="L68" s="393"/>
      <c r="M68" s="406" t="str">
        <f>C68</f>
        <v>lessee based on actual CY 2020 CPPI 3%]</v>
      </c>
      <c r="N68" s="404"/>
      <c r="O68" s="409"/>
      <c r="P68" s="409"/>
      <c r="Q68" s="393"/>
    </row>
    <row r="69" spans="1:85" ht="14.65" customHeight="1" x14ac:dyDescent="0.25">
      <c r="A69" s="391"/>
      <c r="B69" s="391"/>
      <c r="C69" s="404"/>
      <c r="D69" s="404"/>
      <c r="E69" s="409"/>
      <c r="F69" s="409"/>
      <c r="G69" s="393"/>
      <c r="H69" s="404"/>
      <c r="I69" s="404"/>
      <c r="J69" s="409"/>
      <c r="K69" s="409"/>
      <c r="L69" s="393"/>
      <c r="M69" s="404"/>
      <c r="N69" s="404"/>
      <c r="O69" s="409"/>
      <c r="P69" s="409"/>
      <c r="Q69" s="393"/>
    </row>
    <row r="70" spans="1:85" ht="14.25" customHeight="1" x14ac:dyDescent="0.25">
      <c r="A70" s="391"/>
      <c r="B70" s="391"/>
      <c r="C70" s="404"/>
      <c r="D70" s="404"/>
      <c r="E70" s="409"/>
      <c r="F70" s="409"/>
      <c r="G70" s="393"/>
      <c r="H70" s="404"/>
      <c r="I70" s="404"/>
      <c r="J70" s="409"/>
      <c r="K70" s="409"/>
      <c r="L70" s="393"/>
      <c r="M70" s="404"/>
      <c r="N70" s="404"/>
      <c r="O70" s="409"/>
      <c r="P70" s="409"/>
      <c r="Q70" s="393"/>
    </row>
    <row r="71" spans="1:85" ht="14.65" customHeight="1" x14ac:dyDescent="0.25">
      <c r="A71" s="400" t="s">
        <v>168</v>
      </c>
      <c r="B71" s="400"/>
      <c r="C71" s="404" t="str">
        <f>+D66</f>
        <v>Unearned revenue - lease payment</v>
      </c>
      <c r="D71" s="415"/>
      <c r="E71" s="409">
        <f>+F66</f>
        <v>54940</v>
      </c>
      <c r="F71" s="409"/>
      <c r="G71" s="393"/>
      <c r="I71" s="404" t="s">
        <v>36</v>
      </c>
      <c r="J71" s="389"/>
      <c r="K71" s="389"/>
      <c r="M71" s="404" t="str">
        <f>+C71</f>
        <v>Unearned revenue - lease payment</v>
      </c>
      <c r="N71" s="404"/>
      <c r="O71" s="409">
        <f t="shared" ref="O71:O72" si="6">E71</f>
        <v>54940</v>
      </c>
      <c r="P71" s="409"/>
      <c r="Q71" s="393"/>
    </row>
    <row r="72" spans="1:85" ht="14.65" customHeight="1" x14ac:dyDescent="0.25">
      <c r="A72" s="400"/>
      <c r="B72" s="400"/>
      <c r="C72" s="389" t="s">
        <v>21</v>
      </c>
      <c r="E72" s="409">
        <v>120000</v>
      </c>
      <c r="F72" s="409"/>
      <c r="G72" s="393"/>
      <c r="I72" s="404"/>
      <c r="J72" s="389"/>
      <c r="K72" s="389"/>
      <c r="M72" s="404" t="str">
        <f>+C72</f>
        <v>Deferred inflow of resources</v>
      </c>
      <c r="N72" s="404"/>
      <c r="O72" s="409">
        <f t="shared" si="6"/>
        <v>120000</v>
      </c>
      <c r="P72" s="409"/>
      <c r="Q72" s="393"/>
    </row>
    <row r="73" spans="1:85" ht="14.65" customHeight="1" x14ac:dyDescent="0.25">
      <c r="A73" s="485"/>
      <c r="B73" s="485"/>
      <c r="C73" s="404"/>
      <c r="D73" s="404" t="s">
        <v>50</v>
      </c>
      <c r="E73" s="409"/>
      <c r="F73" s="409">
        <f>+E72+E71</f>
        <v>174940</v>
      </c>
      <c r="G73" s="393"/>
      <c r="J73" s="389"/>
      <c r="K73" s="389"/>
      <c r="M73" s="397"/>
      <c r="N73" s="404" t="str">
        <f t="shared" ref="N73" si="7">D73</f>
        <v>Lease revenue</v>
      </c>
      <c r="O73" s="409"/>
      <c r="P73" s="409">
        <f t="shared" ref="P73" si="8">F73</f>
        <v>174940</v>
      </c>
      <c r="Q73" s="393"/>
    </row>
    <row r="74" spans="1:85" ht="14.65" customHeight="1" x14ac:dyDescent="0.25">
      <c r="A74" s="391"/>
      <c r="B74" s="391"/>
      <c r="C74" s="405" t="s">
        <v>873</v>
      </c>
      <c r="D74" s="404"/>
      <c r="E74" s="409"/>
      <c r="F74" s="409"/>
      <c r="G74" s="393"/>
      <c r="J74" s="389"/>
      <c r="K74" s="389"/>
      <c r="M74" s="389" t="str">
        <f>+C74</f>
        <v>[To recognize lease revenue for year]</v>
      </c>
      <c r="O74" s="389"/>
      <c r="P74" s="389"/>
      <c r="Q74" s="393"/>
      <c r="R74" s="415"/>
      <c r="S74" s="415"/>
      <c r="T74" s="415"/>
      <c r="U74" s="415"/>
      <c r="V74" s="415"/>
      <c r="W74" s="415"/>
      <c r="X74" s="415"/>
      <c r="Y74" s="415"/>
      <c r="Z74" s="415"/>
      <c r="AA74" s="415"/>
      <c r="AB74" s="415"/>
      <c r="AC74" s="415"/>
      <c r="AD74" s="415"/>
      <c r="AE74" s="415"/>
      <c r="AF74" s="415"/>
      <c r="AG74" s="415"/>
      <c r="AH74" s="415"/>
      <c r="AI74" s="415"/>
      <c r="AJ74" s="415"/>
      <c r="AK74" s="415"/>
      <c r="AL74" s="415"/>
      <c r="AM74" s="415"/>
      <c r="AN74" s="415"/>
      <c r="AO74" s="415"/>
      <c r="AP74" s="415"/>
      <c r="AQ74" s="415"/>
      <c r="AR74" s="415"/>
      <c r="AS74" s="415"/>
      <c r="AT74" s="415"/>
      <c r="AU74" s="415"/>
      <c r="AV74" s="415"/>
      <c r="AW74" s="415"/>
      <c r="AX74" s="415"/>
      <c r="AY74" s="415"/>
      <c r="AZ74" s="415"/>
      <c r="BA74" s="415"/>
      <c r="BB74" s="415"/>
      <c r="BC74" s="415"/>
      <c r="BD74" s="415"/>
      <c r="BE74" s="415"/>
      <c r="BF74" s="415"/>
      <c r="BG74" s="415"/>
      <c r="BH74" s="415"/>
      <c r="BI74" s="415"/>
      <c r="BJ74" s="415"/>
      <c r="BK74" s="415"/>
      <c r="BL74" s="415"/>
      <c r="BM74" s="415"/>
      <c r="BN74" s="415"/>
      <c r="BO74" s="415"/>
      <c r="BP74" s="415"/>
      <c r="BQ74" s="415"/>
      <c r="BR74" s="415"/>
      <c r="BS74" s="415"/>
      <c r="BT74" s="415"/>
      <c r="BU74" s="415"/>
      <c r="BV74" s="415"/>
      <c r="BW74" s="415"/>
      <c r="BX74" s="415"/>
      <c r="BY74" s="415"/>
      <c r="BZ74" s="415"/>
      <c r="CA74" s="415"/>
      <c r="CB74" s="415"/>
      <c r="CC74" s="415"/>
      <c r="CD74" s="415"/>
      <c r="CE74" s="415"/>
      <c r="CF74" s="415"/>
      <c r="CG74" s="503"/>
    </row>
    <row r="75" spans="1:85" ht="14.65" customHeight="1" x14ac:dyDescent="0.25">
      <c r="A75" s="391"/>
      <c r="B75" s="391"/>
      <c r="C75" s="405"/>
      <c r="D75" s="404"/>
      <c r="E75" s="409"/>
      <c r="F75" s="409"/>
      <c r="G75" s="393"/>
      <c r="J75" s="389"/>
      <c r="K75" s="389"/>
      <c r="O75" s="389"/>
      <c r="P75" s="389"/>
      <c r="Q75" s="393"/>
      <c r="R75" s="415"/>
      <c r="S75" s="415"/>
      <c r="T75" s="415"/>
      <c r="U75" s="415"/>
      <c r="V75" s="415"/>
      <c r="W75" s="415"/>
      <c r="X75" s="415"/>
      <c r="Y75" s="415"/>
      <c r="Z75" s="415"/>
      <c r="AA75" s="415"/>
      <c r="AB75" s="415"/>
      <c r="AC75" s="415"/>
      <c r="AD75" s="415"/>
      <c r="AE75" s="415"/>
      <c r="AF75" s="415"/>
      <c r="AG75" s="415"/>
      <c r="AH75" s="415"/>
      <c r="AI75" s="415"/>
      <c r="AJ75" s="415"/>
      <c r="AK75" s="415"/>
      <c r="AL75" s="415"/>
      <c r="AM75" s="415"/>
      <c r="AN75" s="415"/>
      <c r="AO75" s="415"/>
      <c r="AP75" s="415"/>
      <c r="AQ75" s="415"/>
      <c r="AR75" s="415"/>
      <c r="AS75" s="415"/>
      <c r="AT75" s="415"/>
      <c r="AU75" s="415"/>
      <c r="AV75" s="415"/>
      <c r="AW75" s="415"/>
      <c r="AX75" s="415"/>
      <c r="AY75" s="415"/>
      <c r="AZ75" s="415"/>
      <c r="BA75" s="415"/>
      <c r="BB75" s="415"/>
      <c r="BC75" s="415"/>
      <c r="BD75" s="415"/>
      <c r="BE75" s="415"/>
      <c r="BF75" s="415"/>
      <c r="BG75" s="415"/>
      <c r="BH75" s="415"/>
      <c r="BI75" s="415"/>
      <c r="BJ75" s="415"/>
      <c r="BK75" s="415"/>
      <c r="BL75" s="415"/>
      <c r="BM75" s="415"/>
      <c r="BN75" s="415"/>
      <c r="BO75" s="415"/>
      <c r="BP75" s="415"/>
      <c r="BQ75" s="415"/>
      <c r="BR75" s="415"/>
      <c r="BS75" s="415"/>
      <c r="BT75" s="415"/>
      <c r="BU75" s="415"/>
      <c r="BV75" s="415"/>
      <c r="BW75" s="415"/>
      <c r="BX75" s="415"/>
      <c r="BY75" s="415"/>
      <c r="BZ75" s="415"/>
      <c r="CA75" s="415"/>
      <c r="CB75" s="415"/>
      <c r="CC75" s="415"/>
      <c r="CD75" s="415"/>
      <c r="CE75" s="415"/>
      <c r="CF75" s="415"/>
      <c r="CG75" s="415"/>
    </row>
    <row r="76" spans="1:85" s="415" customFormat="1" ht="14.65" customHeight="1" x14ac:dyDescent="0.25">
      <c r="A76" s="485"/>
      <c r="B76" s="485"/>
      <c r="C76" s="405"/>
      <c r="D76" s="404"/>
      <c r="E76" s="409"/>
      <c r="F76" s="409"/>
      <c r="G76" s="393"/>
      <c r="H76" s="405"/>
      <c r="I76" s="404"/>
      <c r="J76" s="409"/>
      <c r="K76" s="409"/>
      <c r="L76" s="393"/>
      <c r="M76" s="405"/>
      <c r="N76" s="404"/>
      <c r="O76" s="409"/>
      <c r="P76" s="409"/>
      <c r="Q76" s="393"/>
    </row>
    <row r="77" spans="1:85" s="415" customFormat="1" ht="14.65" customHeight="1" x14ac:dyDescent="0.25">
      <c r="A77" s="485"/>
      <c r="B77" s="485"/>
      <c r="C77" s="701"/>
      <c r="D77" s="701"/>
      <c r="E77" s="505"/>
      <c r="F77" s="505"/>
      <c r="G77" s="393"/>
      <c r="M77" s="701"/>
      <c r="N77" s="701"/>
      <c r="O77" s="505"/>
      <c r="P77" s="505"/>
      <c r="Q77" s="393"/>
    </row>
    <row r="78" spans="1:85" ht="14.65" customHeight="1" x14ac:dyDescent="0.25">
      <c r="A78" s="391"/>
      <c r="B78" s="391"/>
      <c r="C78" s="404"/>
      <c r="D78" s="404"/>
      <c r="E78" s="409"/>
      <c r="F78" s="409"/>
      <c r="J78" s="389"/>
      <c r="K78" s="389"/>
      <c r="O78" s="389"/>
      <c r="P78" s="389"/>
      <c r="Q78" s="393"/>
    </row>
    <row r="79" spans="1:85" ht="14.65" customHeight="1" x14ac:dyDescent="0.25">
      <c r="A79" s="400" t="s">
        <v>167</v>
      </c>
      <c r="B79" s="400"/>
      <c r="D79" s="404" t="s">
        <v>36</v>
      </c>
      <c r="E79" s="409"/>
      <c r="F79" s="409"/>
      <c r="G79" s="405"/>
      <c r="H79" s="493" t="s">
        <v>24</v>
      </c>
      <c r="I79" s="493"/>
      <c r="J79" s="409">
        <f>ROUND(+'Ex. 2 Calcs - District'!O29,0)</f>
        <v>33333</v>
      </c>
      <c r="K79" s="409"/>
      <c r="L79" s="393"/>
      <c r="M79" s="404" t="str">
        <f>+H79</f>
        <v>Depreciation expense</v>
      </c>
      <c r="N79" s="404"/>
      <c r="O79" s="409">
        <f>+J79</f>
        <v>33333</v>
      </c>
      <c r="P79" s="409"/>
      <c r="Q79" s="393"/>
    </row>
    <row r="80" spans="1:85" x14ac:dyDescent="0.25">
      <c r="A80" s="391"/>
      <c r="B80" s="391"/>
      <c r="C80" s="699"/>
      <c r="D80" s="699"/>
      <c r="E80" s="700"/>
      <c r="F80" s="700"/>
      <c r="G80" s="393"/>
      <c r="H80" s="493"/>
      <c r="I80" s="493" t="s">
        <v>25</v>
      </c>
      <c r="J80" s="409"/>
      <c r="K80" s="409">
        <f>+J79</f>
        <v>33333</v>
      </c>
      <c r="L80" s="393"/>
      <c r="M80" s="397"/>
      <c r="N80" s="404" t="str">
        <f>+I80</f>
        <v>Accumulated depreciation - building</v>
      </c>
      <c r="O80" s="409"/>
      <c r="P80" s="409">
        <f>+K80</f>
        <v>33333</v>
      </c>
      <c r="Q80" s="393"/>
    </row>
    <row r="81" spans="1:17" x14ac:dyDescent="0.25">
      <c r="A81" s="391"/>
      <c r="B81" s="391"/>
      <c r="C81" s="699"/>
      <c r="D81" s="699"/>
      <c r="E81" s="700"/>
      <c r="F81" s="700"/>
      <c r="G81" s="393"/>
      <c r="H81" s="405" t="s">
        <v>32</v>
      </c>
      <c r="I81" s="404"/>
      <c r="J81" s="409"/>
      <c r="K81" s="409"/>
      <c r="L81" s="393"/>
      <c r="M81" s="405" t="s">
        <v>32</v>
      </c>
      <c r="N81" s="404"/>
      <c r="O81" s="409"/>
      <c r="P81" s="409"/>
      <c r="Q81" s="393"/>
    </row>
    <row r="82" spans="1:17" x14ac:dyDescent="0.25">
      <c r="C82" s="701"/>
      <c r="D82" s="701"/>
      <c r="E82" s="505"/>
      <c r="F82" s="505"/>
      <c r="G82" s="393"/>
      <c r="H82" s="404"/>
      <c r="I82" s="409"/>
      <c r="J82" s="409"/>
      <c r="K82" s="393"/>
      <c r="L82" s="405"/>
      <c r="M82" s="404"/>
      <c r="N82" s="409"/>
      <c r="O82" s="409"/>
      <c r="P82" s="409"/>
      <c r="Q82" s="393"/>
    </row>
    <row r="83" spans="1:17" x14ac:dyDescent="0.25">
      <c r="C83" s="393"/>
      <c r="D83" s="393"/>
      <c r="E83" s="392"/>
      <c r="F83" s="392"/>
      <c r="G83" s="393"/>
      <c r="H83" s="393"/>
      <c r="I83" s="393"/>
      <c r="J83" s="392"/>
      <c r="K83" s="392"/>
      <c r="L83" s="393"/>
      <c r="M83" s="699"/>
      <c r="N83" s="699"/>
      <c r="O83" s="700"/>
      <c r="P83" s="700"/>
      <c r="Q83" s="393"/>
    </row>
    <row r="84" spans="1:17" x14ac:dyDescent="0.25">
      <c r="C84" s="393"/>
      <c r="D84" s="393"/>
      <c r="E84" s="505">
        <f>SUM(E6:E83)-SUM(F6:F83)</f>
        <v>0</v>
      </c>
      <c r="F84" s="392"/>
      <c r="G84" s="393"/>
      <c r="H84" s="393"/>
      <c r="I84" s="393"/>
      <c r="J84" s="505">
        <f>SUM(J6:J83)-SUM(K6:K83)</f>
        <v>0</v>
      </c>
      <c r="K84" s="392"/>
      <c r="L84" s="393"/>
      <c r="M84" s="699"/>
      <c r="N84" s="699"/>
      <c r="O84" s="505">
        <f>SUM(O6:O83)-SUM(P6:P83)</f>
        <v>0</v>
      </c>
      <c r="P84" s="700"/>
      <c r="Q84" s="393"/>
    </row>
    <row r="85" spans="1:17" x14ac:dyDescent="0.25">
      <c r="C85" s="393"/>
      <c r="D85" s="393"/>
      <c r="E85" s="392"/>
      <c r="F85" s="392"/>
      <c r="G85" s="393"/>
      <c r="H85" s="393"/>
      <c r="I85" s="393"/>
      <c r="J85" s="392"/>
      <c r="K85" s="392"/>
      <c r="L85" s="393"/>
      <c r="M85" s="701"/>
      <c r="N85" s="701"/>
      <c r="O85" s="505"/>
      <c r="P85" s="505"/>
      <c r="Q85" s="393"/>
    </row>
    <row r="86" spans="1:17" x14ac:dyDescent="0.25">
      <c r="C86" s="393"/>
      <c r="D86" s="393"/>
      <c r="E86" s="392"/>
      <c r="F86" s="392"/>
      <c r="G86" s="393"/>
      <c r="H86" s="393"/>
      <c r="I86" s="393"/>
      <c r="J86" s="392"/>
      <c r="K86" s="392"/>
      <c r="L86" s="393"/>
      <c r="M86" s="393"/>
      <c r="N86" s="393"/>
      <c r="O86" s="392"/>
      <c r="P86" s="392"/>
      <c r="Q86" s="393"/>
    </row>
    <row r="87" spans="1:17" x14ac:dyDescent="0.25">
      <c r="C87" s="393"/>
      <c r="D87" s="393"/>
      <c r="E87" s="392"/>
      <c r="F87" s="392"/>
      <c r="G87" s="393"/>
      <c r="H87" s="393"/>
      <c r="I87" s="393"/>
      <c r="J87" s="392"/>
      <c r="K87" s="392"/>
      <c r="L87" s="393"/>
      <c r="M87" s="393"/>
      <c r="N87" s="393"/>
      <c r="O87" s="392"/>
      <c r="P87" s="392"/>
      <c r="Q87" s="393"/>
    </row>
    <row r="88" spans="1:17" x14ac:dyDescent="0.25">
      <c r="C88" s="393"/>
      <c r="D88" s="393"/>
      <c r="E88" s="392"/>
      <c r="F88" s="392"/>
      <c r="G88" s="393"/>
      <c r="H88" s="393"/>
      <c r="I88" s="393"/>
      <c r="J88" s="392"/>
      <c r="K88" s="392"/>
      <c r="L88" s="393"/>
      <c r="M88" s="393"/>
      <c r="N88" s="393"/>
      <c r="O88" s="392"/>
      <c r="P88" s="392"/>
      <c r="Q88" s="393"/>
    </row>
  </sheetData>
  <mergeCells count="6">
    <mergeCell ref="I62:J62"/>
    <mergeCell ref="A1:P1"/>
    <mergeCell ref="C4:F4"/>
    <mergeCell ref="H4:K4"/>
    <mergeCell ref="M4:P4"/>
    <mergeCell ref="I61:J6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26</vt:i4>
      </vt:variant>
    </vt:vector>
  </HeadingPairs>
  <TitlesOfParts>
    <vt:vector size="61" baseType="lpstr">
      <vt:lpstr>Overview</vt:lpstr>
      <vt:lpstr>Example 1 Assumptions Summary </vt:lpstr>
      <vt:lpstr>Ex. 1 Calcs - District</vt:lpstr>
      <vt:lpstr>Ex. 1 Entries - District</vt:lpstr>
      <vt:lpstr>Ex. 1 Calcs - County</vt:lpstr>
      <vt:lpstr>Ex. 1 Entries - County</vt:lpstr>
      <vt:lpstr>Example 2 Assumptions Summary </vt:lpstr>
      <vt:lpstr>Ex. 2 Calcs - District</vt:lpstr>
      <vt:lpstr>Ex. 2 Entries - District</vt:lpstr>
      <vt:lpstr>Ex. 2 Calcs - County</vt:lpstr>
      <vt:lpstr>Ex. 2 Entries - County</vt:lpstr>
      <vt:lpstr>Example 3 Assumptions Summary</vt:lpstr>
      <vt:lpstr>Ex. 3 Calcs-District</vt:lpstr>
      <vt:lpstr>Ex. 3 Entries - District</vt:lpstr>
      <vt:lpstr>Ex. 3 Calcs-College</vt:lpstr>
      <vt:lpstr>Ex. 3 Entries - College</vt:lpstr>
      <vt:lpstr>Example 4 Assumptions Summary</vt:lpstr>
      <vt:lpstr>Ex. 4 Calcs-County</vt:lpstr>
      <vt:lpstr>Ex. 4 Entries - County</vt:lpstr>
      <vt:lpstr>Ex. 4 Calcs-City</vt:lpstr>
      <vt:lpstr>Ex. 4 Entries - City</vt:lpstr>
      <vt:lpstr>Example 5 Assumptions Summary </vt:lpstr>
      <vt:lpstr>Ex. 5 Calcs-Corporation</vt:lpstr>
      <vt:lpstr>Ex. 5 Entries - Corporation</vt:lpstr>
      <vt:lpstr>Ex. 5 Calcs-City</vt:lpstr>
      <vt:lpstr>Ex. 5 Entries - City</vt:lpstr>
      <vt:lpstr>Example 6 Assumptions Summary</vt:lpstr>
      <vt:lpstr>Ex. 6 Calcs-City</vt:lpstr>
      <vt:lpstr>Ex. 6 Entries - City</vt:lpstr>
      <vt:lpstr>Ex. 6 Calcs-Corp</vt:lpstr>
      <vt:lpstr>Ex. 6 Entries - Corp</vt:lpstr>
      <vt:lpstr>Example 6 Scenario A </vt:lpstr>
      <vt:lpstr>Example 6 Scenario B </vt:lpstr>
      <vt:lpstr>Example 6 Scenario C </vt:lpstr>
      <vt:lpstr>Example 7</vt:lpstr>
      <vt:lpstr>'Example 1 Assumptions Summary '!OLE_LINK2</vt:lpstr>
      <vt:lpstr>'Ex. 1 Calcs - County'!Print_Area</vt:lpstr>
      <vt:lpstr>'Ex. 1 Calcs - District'!Print_Area</vt:lpstr>
      <vt:lpstr>'Ex. 1 Entries - District'!Print_Area</vt:lpstr>
      <vt:lpstr>'Ex. 2 Calcs - County'!Print_Area</vt:lpstr>
      <vt:lpstr>'Ex. 2 Calcs - District'!Print_Area</vt:lpstr>
      <vt:lpstr>'Ex. 3 Calcs-College'!Print_Area</vt:lpstr>
      <vt:lpstr>'Ex. 3 Calcs-District'!Print_Area</vt:lpstr>
      <vt:lpstr>'Ex. 4 Calcs-City'!Print_Area</vt:lpstr>
      <vt:lpstr>'Ex. 4 Calcs-County'!Print_Area</vt:lpstr>
      <vt:lpstr>'Ex. 4 Entries - County'!Print_Area</vt:lpstr>
      <vt:lpstr>'Ex. 5 Calcs-City'!Print_Area</vt:lpstr>
      <vt:lpstr>'Ex. 5 Calcs-Corporation'!Print_Area</vt:lpstr>
      <vt:lpstr>'Ex. 6 Calcs-City'!Print_Area</vt:lpstr>
      <vt:lpstr>'Ex. 6 Calcs-Corp'!Print_Area</vt:lpstr>
      <vt:lpstr>'Example 1 Assumptions Summary '!Print_Area</vt:lpstr>
      <vt:lpstr>'Example 3 Assumptions Summary'!Print_Area</vt:lpstr>
      <vt:lpstr>'Example 4 Assumptions Summary'!Print_Area</vt:lpstr>
      <vt:lpstr>'Example 5 Assumptions Summary '!Print_Area</vt:lpstr>
      <vt:lpstr>'Example 6 Assumptions Summary'!Print_Area</vt:lpstr>
      <vt:lpstr>'Example 6 Scenario A '!Print_Area</vt:lpstr>
      <vt:lpstr>'Example 6 Scenario B '!Print_Area</vt:lpstr>
      <vt:lpstr>'Example 6 Scenario C '!Print_Area</vt:lpstr>
      <vt:lpstr>'Example 7'!Print_Area</vt:lpstr>
      <vt:lpstr>Overview!Print_Area</vt:lpstr>
      <vt:lpstr>'Ex. 1 Entries - District'!Print_Titles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MLevine</dc:creator>
  <cp:lastModifiedBy>Peg Hartnett</cp:lastModifiedBy>
  <cp:lastPrinted>2020-08-24T16:17:06Z</cp:lastPrinted>
  <dcterms:created xsi:type="dcterms:W3CDTF">2020-04-05T22:01:50Z</dcterms:created>
  <dcterms:modified xsi:type="dcterms:W3CDTF">2020-08-24T18:02:23Z</dcterms:modified>
</cp:coreProperties>
</file>