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gfoaorg.sharepoint.com/sites/TSCTraining/Shared Documents/TSC Webinars/Compensated Absences March 2025/"/>
    </mc:Choice>
  </mc:AlternateContent>
  <xr:revisionPtr revIDLastSave="1367" documentId="11_932F49BFAD9A3471FC5594B261B521A4692C4E07" xr6:coauthVersionLast="47" xr6:coauthVersionMax="47" xr10:uidLastSave="{79050BCB-EFA3-4E66-AD53-163FBF41B227}"/>
  <bookViews>
    <workbookView xWindow="-108" yWindow="-108" windowWidth="23256" windowHeight="14016" xr2:uid="{00000000-000D-0000-FFFF-FFFF00000000}"/>
  </bookViews>
  <sheets>
    <sheet name="Overview" sheetId="4" r:id="rId1"/>
    <sheet name="FIFO" sheetId="3" r:id="rId2"/>
    <sheet name="LIFO"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1" i="3" l="1"/>
  <c r="L82" i="3"/>
  <c r="L71" i="3"/>
  <c r="L72" i="3"/>
  <c r="L73" i="3"/>
  <c r="L74" i="3"/>
  <c r="L75" i="3"/>
  <c r="L76" i="3"/>
  <c r="L77" i="3"/>
  <c r="L78" i="3"/>
  <c r="L79" i="3"/>
  <c r="L80" i="3"/>
  <c r="L68" i="3"/>
  <c r="L69" i="3"/>
  <c r="L70" i="3"/>
  <c r="L67" i="3"/>
  <c r="N65" i="1"/>
  <c r="N66" i="1"/>
  <c r="N67" i="1"/>
  <c r="N68" i="1"/>
  <c r="N69" i="1"/>
  <c r="N70" i="1"/>
  <c r="N71" i="1"/>
  <c r="N72" i="1"/>
  <c r="N73" i="1"/>
  <c r="N74" i="1"/>
  <c r="N75" i="1"/>
  <c r="N76" i="1"/>
  <c r="N77" i="1"/>
  <c r="N78" i="1"/>
  <c r="N79" i="1"/>
  <c r="N64" i="1"/>
  <c r="F65" i="1"/>
  <c r="F66" i="1"/>
  <c r="F67" i="1"/>
  <c r="F68" i="1"/>
  <c r="F69" i="1"/>
  <c r="F70" i="1"/>
  <c r="F71" i="1"/>
  <c r="F72" i="1"/>
  <c r="F73" i="1"/>
  <c r="F74" i="1"/>
  <c r="F75" i="1"/>
  <c r="F76" i="1"/>
  <c r="F77" i="1"/>
  <c r="F78" i="1"/>
  <c r="F79" i="1"/>
  <c r="F64" i="1"/>
  <c r="H64" i="1" s="1"/>
  <c r="G69" i="3"/>
  <c r="G70" i="3"/>
  <c r="G71" i="3"/>
  <c r="G72" i="3"/>
  <c r="G73" i="3"/>
  <c r="G74" i="3"/>
  <c r="G75" i="3"/>
  <c r="G76" i="3"/>
  <c r="G77" i="3"/>
  <c r="G78" i="3"/>
  <c r="G79" i="3"/>
  <c r="G80" i="3"/>
  <c r="G81" i="3"/>
  <c r="G82" i="3"/>
  <c r="G68" i="3"/>
  <c r="G67" i="3"/>
  <c r="F52" i="3"/>
  <c r="O84" i="3" s="1"/>
  <c r="F54" i="1"/>
  <c r="R81" i="1" s="1"/>
  <c r="E38" i="1"/>
  <c r="I82" i="3" l="1"/>
  <c r="J82" i="3" s="1"/>
  <c r="I81" i="3"/>
  <c r="J81" i="3" s="1"/>
  <c r="I80" i="3"/>
  <c r="J80" i="3" s="1"/>
  <c r="I79" i="3"/>
  <c r="J79" i="3" s="1"/>
  <c r="I78" i="3"/>
  <c r="J78" i="3" s="1"/>
  <c r="I77" i="3"/>
  <c r="J77" i="3" s="1"/>
  <c r="I76" i="3"/>
  <c r="J76" i="3" s="1"/>
  <c r="I75" i="3"/>
  <c r="J75" i="3" s="1"/>
  <c r="I74" i="3"/>
  <c r="J74" i="3" s="1"/>
  <c r="I73" i="3"/>
  <c r="J73" i="3" s="1"/>
  <c r="I72" i="3"/>
  <c r="J72" i="3" s="1"/>
  <c r="I71" i="3"/>
  <c r="J71" i="3" s="1"/>
  <c r="I70" i="3"/>
  <c r="J70" i="3" s="1"/>
  <c r="I69" i="3"/>
  <c r="J69" i="3" s="1"/>
  <c r="I68" i="3"/>
  <c r="J68" i="3" s="1"/>
  <c r="I67" i="3"/>
  <c r="E37" i="3"/>
  <c r="E35" i="3"/>
  <c r="E33" i="3"/>
  <c r="H32" i="3"/>
  <c r="I32" i="3" s="1"/>
  <c r="H31" i="3"/>
  <c r="I31" i="3" s="1"/>
  <c r="H30" i="3"/>
  <c r="I30" i="3" s="1"/>
  <c r="H29" i="3"/>
  <c r="I29" i="3" s="1"/>
  <c r="J29" i="3" s="1"/>
  <c r="H28" i="3"/>
  <c r="I28" i="3" s="1"/>
  <c r="H27" i="3"/>
  <c r="I27" i="3" s="1"/>
  <c r="H26" i="3"/>
  <c r="I26" i="3" s="1"/>
  <c r="J28" i="3" l="1"/>
  <c r="J26" i="3"/>
  <c r="J27" i="3"/>
  <c r="J30" i="3"/>
  <c r="J31" i="3"/>
  <c r="J32" i="3"/>
  <c r="E39" i="1"/>
  <c r="E36" i="1"/>
  <c r="H79" i="1"/>
  <c r="I79" i="1" s="1"/>
  <c r="H78" i="1"/>
  <c r="I78" i="1" s="1"/>
  <c r="H77" i="1"/>
  <c r="I77" i="1" s="1"/>
  <c r="H76" i="1"/>
  <c r="I76" i="1" s="1"/>
  <c r="H75" i="1"/>
  <c r="I75" i="1" s="1"/>
  <c r="H74" i="1"/>
  <c r="I74" i="1" s="1"/>
  <c r="H73" i="1"/>
  <c r="I73" i="1" s="1"/>
  <c r="H72" i="1"/>
  <c r="I72" i="1" s="1"/>
  <c r="H71" i="1"/>
  <c r="I71" i="1" s="1"/>
  <c r="H70" i="1"/>
  <c r="I70" i="1" s="1"/>
  <c r="H69" i="1"/>
  <c r="I69" i="1" s="1"/>
  <c r="H68" i="1"/>
  <c r="I68" i="1" s="1"/>
  <c r="H67" i="1"/>
  <c r="I67" i="1" s="1"/>
  <c r="H66" i="1"/>
  <c r="I66" i="1" s="1"/>
  <c r="H65" i="1"/>
  <c r="I65" i="1" s="1"/>
  <c r="I64" i="1"/>
  <c r="H28" i="1"/>
  <c r="H29" i="1"/>
  <c r="I29" i="1" s="1"/>
  <c r="J29" i="1" s="1"/>
  <c r="H30" i="1"/>
  <c r="I30" i="1" s="1"/>
  <c r="J30" i="1" s="1"/>
  <c r="H31" i="1"/>
  <c r="I31" i="1" s="1"/>
  <c r="J31" i="1" s="1"/>
  <c r="H32" i="1"/>
  <c r="I32" i="1" s="1"/>
  <c r="J32" i="1" s="1"/>
  <c r="H33" i="1"/>
  <c r="I33" i="1" s="1"/>
  <c r="J33" i="1" s="1"/>
  <c r="H27" i="1"/>
  <c r="E34" i="1"/>
  <c r="K64" i="1" l="1"/>
  <c r="L64" i="1" s="1"/>
  <c r="K76" i="1"/>
  <c r="L76" i="1" s="1"/>
  <c r="K77" i="1"/>
  <c r="L77" i="1" s="1"/>
  <c r="O77" i="1" s="1"/>
  <c r="K78" i="1"/>
  <c r="L78" i="1" s="1"/>
  <c r="K79" i="1"/>
  <c r="L79" i="1" s="1"/>
  <c r="K65" i="1"/>
  <c r="L65" i="1" s="1"/>
  <c r="O65" i="1" s="1"/>
  <c r="K66" i="1"/>
  <c r="L66" i="1" s="1"/>
  <c r="O66" i="1" s="1"/>
  <c r="K67" i="1"/>
  <c r="L67" i="1" s="1"/>
  <c r="O67" i="1" s="1"/>
  <c r="K68" i="1"/>
  <c r="L68" i="1" s="1"/>
  <c r="O68" i="1" s="1"/>
  <c r="K69" i="1"/>
  <c r="L69" i="1" s="1"/>
  <c r="O69" i="1" s="1"/>
  <c r="K70" i="1"/>
  <c r="L70" i="1" s="1"/>
  <c r="O70" i="1" s="1"/>
  <c r="K71" i="1"/>
  <c r="L71" i="1" s="1"/>
  <c r="O71" i="1" s="1"/>
  <c r="K72" i="1"/>
  <c r="L72" i="1" s="1"/>
  <c r="O72" i="1" s="1"/>
  <c r="K73" i="1"/>
  <c r="L73" i="1" s="1"/>
  <c r="O73" i="1" s="1"/>
  <c r="K74" i="1"/>
  <c r="L74" i="1" s="1"/>
  <c r="O74" i="1" s="1"/>
  <c r="K75" i="1"/>
  <c r="L75" i="1" s="1"/>
  <c r="O75" i="1" s="1"/>
  <c r="O64" i="1"/>
  <c r="J38" i="1"/>
  <c r="J39" i="1" s="1"/>
  <c r="J78" i="1" s="1"/>
  <c r="M78" i="1" s="1"/>
  <c r="O76" i="1"/>
  <c r="O78" i="1"/>
  <c r="J33" i="3"/>
  <c r="J35" i="3" s="1"/>
  <c r="J67" i="3"/>
  <c r="J37" i="3"/>
  <c r="O79" i="1"/>
  <c r="I28" i="1"/>
  <c r="J28" i="1" s="1"/>
  <c r="I27" i="1"/>
  <c r="J27" i="1" s="1"/>
  <c r="J34" i="1" s="1"/>
  <c r="J36" i="1" s="1"/>
  <c r="J64" i="1" s="1"/>
  <c r="M64" i="1" s="1"/>
  <c r="K79" i="3" l="1"/>
  <c r="K81" i="3"/>
  <c r="K82" i="3"/>
  <c r="K80" i="3"/>
  <c r="K78" i="3"/>
  <c r="K67" i="3"/>
  <c r="M74" i="3" s="1"/>
  <c r="N74" i="3" s="1"/>
  <c r="K68" i="3"/>
  <c r="K69" i="3"/>
  <c r="K71" i="3"/>
  <c r="K72" i="3"/>
  <c r="K74" i="3"/>
  <c r="K77" i="3"/>
  <c r="K70" i="3"/>
  <c r="K73" i="3"/>
  <c r="K75" i="3"/>
  <c r="K76" i="3"/>
  <c r="J76" i="1"/>
  <c r="M76" i="1" s="1"/>
  <c r="J77" i="1"/>
  <c r="M77" i="1" s="1"/>
  <c r="J74" i="1"/>
  <c r="M74" i="1" s="1"/>
  <c r="J79" i="1"/>
  <c r="M79" i="1" s="1"/>
  <c r="J73" i="1"/>
  <c r="M73" i="1" s="1"/>
  <c r="J72" i="1"/>
  <c r="M72" i="1" s="1"/>
  <c r="J71" i="1"/>
  <c r="M71" i="1" s="1"/>
  <c r="J70" i="1"/>
  <c r="M70" i="1" s="1"/>
  <c r="J67" i="1"/>
  <c r="M67" i="1" s="1"/>
  <c r="J69" i="1"/>
  <c r="M69" i="1" s="1"/>
  <c r="J75" i="1"/>
  <c r="M75" i="1" s="1"/>
  <c r="J68" i="1"/>
  <c r="M68" i="1" s="1"/>
  <c r="J66" i="1"/>
  <c r="M66" i="1" s="1"/>
  <c r="J65" i="1"/>
  <c r="M65" i="1" s="1"/>
  <c r="M73" i="3"/>
  <c r="N73" i="3" s="1"/>
  <c r="M79" i="3" l="1"/>
  <c r="N79" i="3" s="1"/>
  <c r="M78" i="3"/>
  <c r="N78" i="3" s="1"/>
  <c r="M77" i="3"/>
  <c r="N77" i="3" s="1"/>
  <c r="M69" i="3"/>
  <c r="N69" i="3" s="1"/>
  <c r="P73" i="1"/>
  <c r="R73" i="1" s="1"/>
  <c r="M75" i="3"/>
  <c r="N75" i="3" s="1"/>
  <c r="M72" i="3"/>
  <c r="N72" i="3" s="1"/>
  <c r="M76" i="3"/>
  <c r="N76" i="3" s="1"/>
  <c r="M71" i="3"/>
  <c r="N71" i="3" s="1"/>
  <c r="M70" i="3"/>
  <c r="N70" i="3" s="1"/>
  <c r="M82" i="3"/>
  <c r="M68" i="3"/>
  <c r="N68" i="3" s="1"/>
  <c r="M67" i="3"/>
  <c r="N67" i="3" s="1"/>
  <c r="M81" i="3"/>
  <c r="N81" i="3" s="1"/>
  <c r="O81" i="3" s="1"/>
  <c r="O73" i="3"/>
  <c r="M80" i="3"/>
  <c r="O74" i="3"/>
  <c r="P74" i="1"/>
  <c r="R74" i="1" s="1"/>
  <c r="P71" i="1"/>
  <c r="R71" i="1" s="1"/>
  <c r="P75" i="1"/>
  <c r="R75" i="1" s="1"/>
  <c r="P70" i="1"/>
  <c r="R70" i="1" s="1"/>
  <c r="P79" i="1"/>
  <c r="R79" i="1" s="1"/>
  <c r="P68" i="1"/>
  <c r="R68" i="1" s="1"/>
  <c r="P64" i="1"/>
  <c r="P78" i="1"/>
  <c r="R78" i="1" s="1"/>
  <c r="P72" i="1"/>
  <c r="R72" i="1" s="1"/>
  <c r="P77" i="1"/>
  <c r="R77" i="1" s="1"/>
  <c r="P69" i="1"/>
  <c r="R69" i="1" s="1"/>
  <c r="P67" i="1"/>
  <c r="R67" i="1" s="1"/>
  <c r="P76" i="1"/>
  <c r="R76" i="1" s="1"/>
  <c r="P66" i="1"/>
  <c r="R66" i="1" s="1"/>
  <c r="P65" i="1"/>
  <c r="R65" i="1" s="1"/>
  <c r="O77" i="3" l="1"/>
  <c r="O72" i="3"/>
  <c r="O67" i="3"/>
  <c r="O71" i="3"/>
  <c r="O69" i="3"/>
  <c r="O78" i="3"/>
  <c r="O70" i="3"/>
  <c r="O79" i="3"/>
  <c r="O68" i="3"/>
  <c r="O75" i="3"/>
  <c r="O76" i="3"/>
  <c r="N80" i="3"/>
  <c r="O80" i="3" s="1"/>
  <c r="N82" i="3"/>
  <c r="O82" i="3" s="1"/>
  <c r="R64" i="1"/>
  <c r="R80" i="1" s="1"/>
  <c r="O83" i="3" l="1"/>
  <c r="O85" i="3" s="1"/>
  <c r="R82" i="1"/>
  <c r="R83" i="1" s="1"/>
  <c r="O86" i="3" l="1"/>
</calcChain>
</file>

<file path=xl/sharedStrings.xml><?xml version="1.0" encoding="utf-8"?>
<sst xmlns="http://schemas.openxmlformats.org/spreadsheetml/2006/main" count="290" uniqueCount="135">
  <si>
    <t>From SYSTEM</t>
  </si>
  <si>
    <t>Calculated</t>
  </si>
  <si>
    <t>Years of service</t>
  </si>
  <si>
    <t>Average days used annually</t>
  </si>
  <si>
    <t>A</t>
  </si>
  <si>
    <t>C</t>
  </si>
  <si>
    <t>D (A*12 days)</t>
  </si>
  <si>
    <t>E (D-C)</t>
  </si>
  <si>
    <t>Former employee #1</t>
  </si>
  <si>
    <t>Former employee #2</t>
  </si>
  <si>
    <t>Former employee #3</t>
  </si>
  <si>
    <t>Former employee #4</t>
  </si>
  <si>
    <t>Former employee #5</t>
  </si>
  <si>
    <t>Former employee #6</t>
  </si>
  <si>
    <t>Former employee #7</t>
  </si>
  <si>
    <t>Totals</t>
  </si>
  <si>
    <t>Average</t>
  </si>
  <si>
    <t>Average years of service for employees with over 18 years of service</t>
  </si>
  <si>
    <t>Days earned annually</t>
  </si>
  <si>
    <t>Active employees</t>
  </si>
  <si>
    <t>Days more likely to be taken in future based on  average days used by former employees</t>
  </si>
  <si>
    <t>Days more likely than not to be used, capped by days accrued as of FYE</t>
  </si>
  <si>
    <t>If Days more likely than not to be used are ZERO, estimate  on individual basis</t>
  </si>
  <si>
    <t>H</t>
  </si>
  <si>
    <t>I</t>
  </si>
  <si>
    <t>K</t>
  </si>
  <si>
    <t>L (J-K)</t>
  </si>
  <si>
    <t>M (K / H)</t>
  </si>
  <si>
    <t>Active employee 1</t>
  </si>
  <si>
    <t>Active employee 2</t>
  </si>
  <si>
    <t>Active employee 3</t>
  </si>
  <si>
    <t>Active employee 4</t>
  </si>
  <si>
    <t>Active employee 5</t>
  </si>
  <si>
    <t>Active employee 6</t>
  </si>
  <si>
    <t>Active employee 7</t>
  </si>
  <si>
    <t>Active employee 8</t>
  </si>
  <si>
    <t>Active employee 9</t>
  </si>
  <si>
    <t>Active employee 10</t>
  </si>
  <si>
    <t>Active employee 11</t>
  </si>
  <si>
    <t>Active employee 12</t>
  </si>
  <si>
    <t>Active employee 13</t>
  </si>
  <si>
    <t>Active employee 14</t>
  </si>
  <si>
    <t>Active employee 15</t>
  </si>
  <si>
    <t>Active employee 16</t>
  </si>
  <si>
    <t>FIFO</t>
  </si>
  <si>
    <t>Years of service &gt; Average; use different averages</t>
  </si>
  <si>
    <t>Estimated liability for more likely than not to be used as sick leave</t>
  </si>
  <si>
    <t>LIFO</t>
  </si>
  <si>
    <t xml:space="preserve">Governments will need to estimate the proportion of the total days accumulated that is more likely than not to be used as time off based on policies and historical information available. </t>
  </si>
  <si>
    <t>Q ((P+O)*I)</t>
  </si>
  <si>
    <t>N*</t>
  </si>
  <si>
    <t>O*</t>
  </si>
  <si>
    <t>P*</t>
  </si>
  <si>
    <t>R*</t>
  </si>
  <si>
    <t>(A*E)</t>
  </si>
  <si>
    <t>T*</t>
  </si>
  <si>
    <t>(T* x I)</t>
  </si>
  <si>
    <t>Total % of salary related payments</t>
  </si>
  <si>
    <t>Accumulated (unused) sick days as of date of termination</t>
  </si>
  <si>
    <t>Salary-related payments</t>
  </si>
  <si>
    <t>G</t>
  </si>
  <si>
    <t>B</t>
  </si>
  <si>
    <t>C (A*12 days)</t>
  </si>
  <si>
    <t>D (C - B)</t>
  </si>
  <si>
    <t>E (A*D)</t>
  </si>
  <si>
    <t>F</t>
  </si>
  <si>
    <t>Sum of E / Sum of A</t>
  </si>
  <si>
    <t>Days more likely than not to be used from the accumulated balance</t>
  </si>
  <si>
    <t>Estimated days to be earned by employee in future years</t>
  </si>
  <si>
    <t>Average former employee years of service upon separation and days used as sick days over course of employment</t>
  </si>
  <si>
    <t>Sick days used over service years</t>
  </si>
  <si>
    <t>Days earned over service years</t>
  </si>
  <si>
    <t>AA</t>
  </si>
  <si>
    <t>GASB 101 Leave Estimate</t>
  </si>
  <si>
    <t>Last-in-first-out (Last-earned, first used)</t>
  </si>
  <si>
    <t>In this template, cells highlighted in yellow are formulas; unhighlighted cells require data input.</t>
  </si>
  <si>
    <t>Assumptions used in the example below</t>
  </si>
  <si>
    <t>1. Employees earn 1 day of sick leave for each month worked which can be carried over to future fiscal years.</t>
  </si>
  <si>
    <t>A-Avg</t>
  </si>
  <si>
    <t>AA-Avg</t>
  </si>
  <si>
    <t>Total for employees 5, 6 and 7</t>
  </si>
  <si>
    <r>
      <t>Governments should choose a representative sample of former employees to estimate amount of leave time used</t>
    </r>
    <r>
      <rPr>
        <sz val="12"/>
        <rFont val="Aptos Narrow"/>
        <family val="2"/>
        <scheme val="minor"/>
      </rPr>
      <t xml:space="preserve">. The size of the sample is a matter of professional judgement, and statistical validity may be a consideration. In this example, a sample size of 7 is used, and the results are calculated for both the 7 former employees as a whole, and for the group of 3 former employees that had over the average service years (18 years), see peach highlighting. </t>
    </r>
    <r>
      <rPr>
        <sz val="12"/>
        <color theme="1"/>
        <rFont val="Aptos Narrow"/>
        <family val="2"/>
        <scheme val="minor"/>
      </rPr>
      <t>Due to differences in contracts and work groups, a one-size-fits-all sample may not be appropriate. Rather, the calculations could be performed for each employee group and then aggregated, if the result would be materially different from using an overall average.</t>
    </r>
  </si>
  <si>
    <r>
      <t>Governments need to calculate a compensated absences liability for the amount of accumulated leave that is more likely than not to be used as time off. G</t>
    </r>
    <r>
      <rPr>
        <sz val="12"/>
        <rFont val="Aptos Narrow"/>
        <family val="2"/>
        <scheme val="minor"/>
      </rPr>
      <t>overnments may use historical data to estimate the amount of days employees are expected to use over the course of their career with the government.</t>
    </r>
  </si>
  <si>
    <t>Days earned over years of service</t>
  </si>
  <si>
    <t>Sick days used over years of service</t>
  </si>
  <si>
    <t>The measurement of a compensated absence liability for leave should include an amount for salary-related payments.</t>
  </si>
  <si>
    <t>Calculate the salary-related payments applicable to sick leave used as time off and sick leave settled in cash.</t>
  </si>
  <si>
    <t>For leave that is used as time off</t>
  </si>
  <si>
    <t>Social Security (6.2%)</t>
  </si>
  <si>
    <t>Medicare (1.45%)</t>
  </si>
  <si>
    <t>457b DC plan (5%)</t>
  </si>
  <si>
    <t>F1</t>
  </si>
  <si>
    <t xml:space="preserve">Governments should review for any other salary-related payments that are material. </t>
  </si>
  <si>
    <t xml:space="preserve">In this example, for sick leave that is used as time off, the government would need to make Social Security and Medicare payments as well as the employer contribution to the defined contribution pension plan, totaling 12.65 percent. </t>
  </si>
  <si>
    <t>Last-in, first-out (Last earned, first used) methodology</t>
  </si>
  <si>
    <t>First-in-first-out (First-earned, first used)</t>
  </si>
  <si>
    <r>
      <t>Calculate the weighted average days used as sick leave for the sample of former employees. For both the group of former employees as a whole, and the subgroup of former employees who stayed beyond the aggregate group's average years of service (see peach highlighting).
The weighted average sick days used over years of service will used as the expectation for the active employees. The government expects each active employee is "more likely than not" to use the weighted average sick days during their years of service.
The numbers in</t>
    </r>
    <r>
      <rPr>
        <b/>
        <sz val="12"/>
        <color rgb="FFFF0000"/>
        <rFont val="Aptos Narrow"/>
        <family val="2"/>
        <scheme val="minor"/>
      </rPr>
      <t xml:space="preserve"> red</t>
    </r>
    <r>
      <rPr>
        <sz val="12"/>
        <color rgb="FF0000FF"/>
        <rFont val="Aptos Narrow"/>
        <family val="2"/>
        <scheme val="minor"/>
      </rPr>
      <t xml:space="preserve"> will carry forward into the analysis of active employees.</t>
    </r>
  </si>
  <si>
    <r>
      <t>In this example, a sample of seven former employees was selected to determine a the number of days used as sick time off over the course of their employment.</t>
    </r>
    <r>
      <rPr>
        <sz val="12"/>
        <rFont val="Aptos Narrow"/>
        <family val="2"/>
        <scheme val="minor"/>
      </rPr>
      <t xml:space="preserve"> The size of the sample is a matter of professional judgement, and statistical validity may be a consideration. </t>
    </r>
    <r>
      <rPr>
        <sz val="12"/>
        <color theme="1"/>
        <rFont val="Aptos Narrow"/>
        <family val="2"/>
        <scheme val="minor"/>
      </rPr>
      <t>The average (and the weighted average) of sick days used during the former employees careers and applied to the active employees on an individual basis below, under both LIFO methodology</t>
    </r>
  </si>
  <si>
    <r>
      <t>In this example, a sample of seven former employees was selected to determine a the number of days used as sick time off over the course of their employment.</t>
    </r>
    <r>
      <rPr>
        <sz val="12"/>
        <rFont val="Aptos Narrow"/>
        <family val="2"/>
        <scheme val="minor"/>
      </rPr>
      <t xml:space="preserve"> The size of the sample is a matter of professional judgement, and statistical validity may be a consideration. </t>
    </r>
    <r>
      <rPr>
        <sz val="12"/>
        <color theme="1"/>
        <rFont val="Aptos Narrow"/>
        <family val="2"/>
        <scheme val="minor"/>
      </rPr>
      <t xml:space="preserve">The average (and the weighted average) of sick days used during the former employees careers and applied to the active employees on an individual basis below, under FIFO methodology. </t>
    </r>
  </si>
  <si>
    <t>Salary-related payments liability</t>
  </si>
  <si>
    <t>First-in-First-out (First earned, first used) methodology</t>
  </si>
  <si>
    <t>Days used over service years to date</t>
  </si>
  <si>
    <t>Estimated Liability of days more likely than not to be used by employees as sick time off</t>
  </si>
  <si>
    <t>For estimating compensated absences liability for accumulated sick leave 'more likely than not' to be used by active employees in a future period, a Last-in, First-out (LIFO) methodology can be used.  Under a LIFO methodology, the government will need to not only determine how much leave is expected to be used in future periods, but also how much leave is expected to be earned in future periods.  Under LIFO, the estimated leave to be earned in future periods will offset the estimated leave to be used as time off in future periods.  In situations where the estimated leave to be earned in future periods does not exceed the estimated leave to be taken as time off in future periods, a liability will be calculated.</t>
  </si>
  <si>
    <t>Total Compensated absences liability</t>
  </si>
  <si>
    <t>2. Rounded numbers are used.</t>
  </si>
  <si>
    <t>HR1 - From HR records</t>
  </si>
  <si>
    <t>J (H*HR1)</t>
  </si>
  <si>
    <t>Weighted Average sick days used over service years</t>
  </si>
  <si>
    <t>If the days calculated in tickmark O is zero, then estimate that the days more likely than not to be taken as sick leave as M, the average days used per service year.</t>
  </si>
  <si>
    <t>Identify the expectation, number of service years based on sample of former employees</t>
  </si>
  <si>
    <t>U*</t>
  </si>
  <si>
    <t>V*</t>
  </si>
  <si>
    <t>Days more likely to be taken in future based on average days used by former employees</t>
  </si>
  <si>
    <t>If the employee's years of service to date is less than the average calculated in the sample of former employees (A-Avg), then calculate the expected years of service remaining, tickmark V minus H. For employees with 18 years of service or more, calculate based on (AA-Avg).  If employee's years of service exceed (AA-Avg), default to 1 year. (This number will be used to estimate the number of sick days expected to be earned in the future.)</t>
  </si>
  <si>
    <t>If the employees "days used over service years to date' (from tickmark L) is less than the weighted average number of days expected to be used (as calculated in tickmark U) N will be the average number of days expected to be used LESS the days used over service years to date. If the "days used over employment" is greater than tickmark U, then zero.</t>
  </si>
  <si>
    <t>S (R* x  HR1)</t>
  </si>
  <si>
    <t>If the days expected to be earned over future service years is greater than the days expected to be used, calculate zero. If not, then calculate the days expected to be used in the future that exceeds the number of days expected to be earned.  (This determines the number of days that should be accrued for in a compensated absences liability, since it is the number of days expected to be used in the future that has been accumulated as of FYE, see tickmark K)</t>
  </si>
  <si>
    <t>Using the average number of service years calculated in the sample of former employees, identify the expected number of service years for each active employee (A-Avg for employees with less than 18 years of service, and AA-Avg for employees with over 18 years of service).  (This number will be used to estimate the number of future service year the employee is expected to work.)</t>
  </si>
  <si>
    <t>Calculate the number of days that tickmark R exceeds the number of "days used over services years to date" in tickmark L.  If tickmark L exceeds tickmark R, calculate 0.</t>
  </si>
  <si>
    <t>Accrued unused leave days at FYE</t>
  </si>
  <si>
    <t>Days earned to date</t>
  </si>
  <si>
    <t xml:space="preserve"> Years of service to date</t>
  </si>
  <si>
    <t>Estimated future service years of employee, default to 1, if service is over average</t>
  </si>
  <si>
    <t>Daily pay rate</t>
  </si>
  <si>
    <t>Years of service to date</t>
  </si>
  <si>
    <t>Accrued unused sick leave days at FYE</t>
  </si>
  <si>
    <t>Using the expectation of days more likely to be used over service years calculated in the sample of former employees in tickmarks F and G, identify the number of days more likely than not to be used by the employee
(F for active employees with service years less than 18 or G for active employees with service years of 18 or more).</t>
  </si>
  <si>
    <t>Using the expectation of days more likely to be used over service years calculated in the sample of former employees in tickmarks F and G, identify the number of days more likely than not to be used by the employee.</t>
  </si>
  <si>
    <t>(Use F for active employees with service years less than 18 or G for active employees with service years of 18 or more.)</t>
  </si>
  <si>
    <t xml:space="preserve">For estimating compensated absences liability for accumulated sick leave 'more likely than not' to be used by active employees in a future period, a First-in, First-out (FIFO) methodology can be used.   Under FIFO methodology, as employees use leave for time off, the leave they earned "first" (earliest), will be reduced, and the most recently earned leave will carryforward. Under a FIFO methodology, the government will need to estimate how much leave is expected to be used in future periods and compare that estimate to the amount of accrued balance at fiscal year end. </t>
  </si>
  <si>
    <t>Identify the expectation, days more likely than not to be used based on former employee sample</t>
  </si>
  <si>
    <t>If the days more likely than not to be used as calculated in N exceed the number of days accrued by the employee in K, then the total is the value in K, if not, then the total is the value in N.  (O should not be greater than N, and O is limited by the value of K.)  This calculation (along with tickmark P) is the number of accrued unused days that are expected to be used in a future period and should be part of the compensated absences liability.</t>
  </si>
  <si>
    <t>Identify the expectation, days more likely than not to be used based on sample of former employee</t>
  </si>
  <si>
    <t>If the days calculated in tickmark N is zero, then estimate the days more likely than not to be taken as sick leave as the average days taken per yearin tickmark M  multiplied by the estimated future service years in tickmark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</si>
</sst>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_);_(* \(#,##0.0\);_(* &quot;-&quot;??_);_(@_)"/>
  </numFmts>
  <fonts count="37" x14ac:knownFonts="1">
    <font>
      <sz val="11"/>
      <color theme="1"/>
      <name val="Aptos Narrow"/>
      <family val="2"/>
      <scheme val="minor"/>
    </font>
    <font>
      <sz val="11"/>
      <color theme="1"/>
      <name val="Aptos Narrow"/>
      <family val="2"/>
      <scheme val="minor"/>
    </font>
    <font>
      <b/>
      <sz val="11"/>
      <color rgb="FFFF0000"/>
      <name val="Aptos Narrow"/>
      <family val="2"/>
      <scheme val="minor"/>
    </font>
    <font>
      <sz val="11"/>
      <name val="Aptos Narrow"/>
      <family val="2"/>
      <scheme val="minor"/>
    </font>
    <font>
      <b/>
      <u val="singleAccounting"/>
      <sz val="11"/>
      <color theme="1"/>
      <name val="Aptos Narrow"/>
      <family val="2"/>
      <scheme val="minor"/>
    </font>
    <font>
      <sz val="11"/>
      <color rgb="FF0000FF"/>
      <name val="Aptos Narrow"/>
      <family val="2"/>
      <scheme val="minor"/>
    </font>
    <font>
      <b/>
      <sz val="11"/>
      <name val="Aptos Narrow"/>
      <family val="2"/>
      <scheme val="minor"/>
    </font>
    <font>
      <b/>
      <u/>
      <sz val="11"/>
      <color theme="1"/>
      <name val="Aptos Narrow"/>
      <family val="2"/>
      <scheme val="minor"/>
    </font>
    <font>
      <u/>
      <sz val="11"/>
      <name val="Aptos Narrow"/>
      <family val="2"/>
      <scheme val="minor"/>
    </font>
    <font>
      <sz val="12"/>
      <color theme="1"/>
      <name val="Aptos Narrow"/>
      <family val="2"/>
      <scheme val="minor"/>
    </font>
    <font>
      <b/>
      <sz val="12"/>
      <color theme="1"/>
      <name val="Aptos Narrow"/>
      <family val="2"/>
      <scheme val="minor"/>
    </font>
    <font>
      <sz val="12"/>
      <name val="Aptos Narrow"/>
      <family val="2"/>
      <scheme val="minor"/>
    </font>
    <font>
      <b/>
      <u/>
      <sz val="12"/>
      <color theme="1"/>
      <name val="Aptos Narrow"/>
      <family val="2"/>
      <scheme val="minor"/>
    </font>
    <font>
      <b/>
      <sz val="12"/>
      <color rgb="FFFF0000"/>
      <name val="Aptos Narrow"/>
      <family val="2"/>
      <scheme val="minor"/>
    </font>
    <font>
      <b/>
      <u/>
      <sz val="12"/>
      <name val="Aptos Narrow"/>
      <family val="2"/>
      <scheme val="minor"/>
    </font>
    <font>
      <b/>
      <u val="singleAccounting"/>
      <sz val="12"/>
      <color theme="1"/>
      <name val="Aptos Narrow"/>
      <family val="2"/>
      <scheme val="minor"/>
    </font>
    <font>
      <i/>
      <sz val="12"/>
      <color theme="3" tint="0.249977111117893"/>
      <name val="Aptos Narrow"/>
      <family val="2"/>
      <scheme val="minor"/>
    </font>
    <font>
      <sz val="12"/>
      <color theme="3" tint="0.249977111117893"/>
      <name val="Aptos Narrow"/>
      <family val="2"/>
      <scheme val="minor"/>
    </font>
    <font>
      <sz val="12"/>
      <color rgb="FF0000FF"/>
      <name val="Aptos Narrow"/>
      <family val="2"/>
      <scheme val="minor"/>
    </font>
    <font>
      <u val="singleAccounting"/>
      <sz val="12"/>
      <color theme="1"/>
      <name val="Aptos Narrow"/>
      <family val="2"/>
      <scheme val="minor"/>
    </font>
    <font>
      <b/>
      <sz val="12"/>
      <color rgb="FF2D06BA"/>
      <name val="Aptos Narrow"/>
      <family val="2"/>
      <scheme val="minor"/>
    </font>
    <font>
      <b/>
      <sz val="12"/>
      <color rgb="FF0000CC"/>
      <name val="Aptos Narrow"/>
      <family val="2"/>
      <scheme val="minor"/>
    </font>
    <font>
      <sz val="12"/>
      <color rgb="FFFF0000"/>
      <name val="Aptos Narrow"/>
      <family val="2"/>
      <scheme val="minor"/>
    </font>
    <font>
      <u val="singleAccounting"/>
      <sz val="12"/>
      <name val="Aptos Narrow"/>
      <family val="2"/>
      <scheme val="minor"/>
    </font>
    <font>
      <u/>
      <sz val="12"/>
      <color rgb="FFFF0000"/>
      <name val="Aptos Narrow"/>
      <family val="2"/>
      <scheme val="minor"/>
    </font>
    <font>
      <b/>
      <sz val="12"/>
      <name val="Aptos Narrow"/>
      <family val="2"/>
      <scheme val="minor"/>
    </font>
    <font>
      <u/>
      <sz val="12"/>
      <color theme="1"/>
      <name val="Aptos Narrow"/>
      <family val="2"/>
      <scheme val="minor"/>
    </font>
    <font>
      <sz val="12"/>
      <color theme="3" tint="9.9978637043366805E-2"/>
      <name val="Aptos Narrow"/>
      <family val="2"/>
      <scheme val="minor"/>
    </font>
    <font>
      <i/>
      <sz val="12"/>
      <color theme="3" tint="9.9978637043366805E-2"/>
      <name val="Aptos Narrow"/>
      <family val="2"/>
      <scheme val="minor"/>
    </font>
    <font>
      <b/>
      <sz val="12"/>
      <color rgb="FF7030A0"/>
      <name val="Aptos Narrow"/>
      <family val="2"/>
      <scheme val="minor"/>
    </font>
    <font>
      <sz val="12"/>
      <color rgb="FF7030A0"/>
      <name val="Aptos Narrow"/>
      <family val="2"/>
      <scheme val="minor"/>
    </font>
    <font>
      <u/>
      <sz val="12"/>
      <name val="Aptos Narrow"/>
      <family val="2"/>
      <scheme val="minor"/>
    </font>
    <font>
      <u val="doubleAccounting"/>
      <sz val="12"/>
      <name val="Aptos Narrow"/>
      <family val="2"/>
      <scheme val="minor"/>
    </font>
    <font>
      <b/>
      <sz val="11"/>
      <color rgb="FF0000FF"/>
      <name val="Aptos Narrow"/>
      <family val="2"/>
      <scheme val="minor"/>
    </font>
    <font>
      <sz val="12"/>
      <color theme="1"/>
      <name val="Palatino Linotype"/>
      <family val="1"/>
    </font>
    <font>
      <b/>
      <sz val="12"/>
      <color rgb="FF0000FF"/>
      <name val="Aptos Narrow"/>
      <family val="2"/>
      <scheme val="minor"/>
    </font>
    <font>
      <sz val="12"/>
      <color theme="1"/>
      <name val="Aptos Display"/>
      <family val="2"/>
      <scheme val="maj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59999389629810485"/>
        <bgColor indexed="64"/>
      </patternFill>
    </fill>
  </fills>
  <borders count="5">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3">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4" fillId="0" borderId="0" xfId="0" applyFont="1" applyAlignment="1">
      <alignment horizontal="center" wrapText="1"/>
    </xf>
    <xf numFmtId="0" fontId="7" fillId="0" borderId="0" xfId="0" applyFont="1" applyAlignment="1">
      <alignment horizontal="left"/>
    </xf>
    <xf numFmtId="0" fontId="6" fillId="0" borderId="0" xfId="0" applyFont="1" applyAlignment="1">
      <alignment horizontal="right"/>
    </xf>
    <xf numFmtId="0" fontId="9" fillId="0" borderId="0" xfId="0" applyFont="1"/>
    <xf numFmtId="0" fontId="10" fillId="0" borderId="0" xfId="0" applyFont="1"/>
    <xf numFmtId="0" fontId="9" fillId="0" borderId="0" xfId="0" applyFont="1" applyAlignment="1">
      <alignment horizontal="left"/>
    </xf>
    <xf numFmtId="0" fontId="9" fillId="0" borderId="0" xfId="0" applyFont="1" applyAlignment="1">
      <alignment horizontal="left" wrapText="1"/>
    </xf>
    <xf numFmtId="0" fontId="9" fillId="0" borderId="0" xfId="0" applyFont="1" applyAlignment="1">
      <alignment wrapText="1"/>
    </xf>
    <xf numFmtId="0" fontId="12" fillId="0" borderId="0" xfId="0" applyFont="1" applyAlignment="1">
      <alignment horizontal="left"/>
    </xf>
    <xf numFmtId="0" fontId="9" fillId="0" borderId="1" xfId="0" applyFont="1" applyBorder="1"/>
    <xf numFmtId="0" fontId="9" fillId="0" borderId="1" xfId="0" applyFont="1" applyBorder="1" applyAlignment="1">
      <alignment horizontal="right"/>
    </xf>
    <xf numFmtId="0" fontId="13" fillId="0" borderId="1" xfId="0" applyFont="1" applyBorder="1" applyAlignment="1">
      <alignment horizontal="right"/>
    </xf>
    <xf numFmtId="164" fontId="13" fillId="0" borderId="1" xfId="3" applyNumberFormat="1" applyFont="1" applyBorder="1"/>
    <xf numFmtId="0" fontId="9" fillId="0" borderId="1" xfId="0" applyFont="1" applyBorder="1" applyAlignment="1">
      <alignment horizontal="left"/>
    </xf>
    <xf numFmtId="0" fontId="14" fillId="0" borderId="0" xfId="0" applyFont="1" applyAlignment="1">
      <alignment horizontal="left"/>
    </xf>
    <xf numFmtId="0" fontId="9" fillId="0" borderId="0" xfId="0" applyFont="1" applyAlignment="1">
      <alignment horizontal="right"/>
    </xf>
    <xf numFmtId="0" fontId="13" fillId="0" borderId="0" xfId="0" applyFont="1" applyAlignment="1">
      <alignment horizontal="right"/>
    </xf>
    <xf numFmtId="164" fontId="13" fillId="0" borderId="0" xfId="3" applyNumberFormat="1" applyFont="1"/>
    <xf numFmtId="0" fontId="10" fillId="0" borderId="0" xfId="0" applyFont="1" applyAlignment="1">
      <alignment horizontal="right"/>
    </xf>
    <xf numFmtId="0" fontId="15" fillId="0" borderId="0" xfId="0" applyFont="1" applyAlignment="1">
      <alignment horizontal="center" wrapText="1"/>
    </xf>
    <xf numFmtId="0" fontId="16" fillId="2" borderId="0" xfId="0" applyFont="1" applyFill="1" applyAlignment="1">
      <alignment horizontal="center"/>
    </xf>
    <xf numFmtId="0" fontId="17" fillId="0" borderId="0" xfId="0" applyFont="1"/>
    <xf numFmtId="0" fontId="16" fillId="0" borderId="0" xfId="0" applyFont="1" applyAlignment="1">
      <alignment horizontal="center"/>
    </xf>
    <xf numFmtId="0" fontId="18" fillId="0" borderId="0" xfId="0" applyFont="1" applyAlignment="1">
      <alignment horizontal="center" vertical="center" wrapText="1"/>
    </xf>
    <xf numFmtId="0" fontId="10" fillId="0" borderId="0" xfId="0" applyFont="1" applyAlignment="1">
      <alignment horizontal="center"/>
    </xf>
    <xf numFmtId="0" fontId="19" fillId="0" borderId="0" xfId="0" applyFont="1" applyAlignment="1">
      <alignment horizontal="center" wrapText="1"/>
    </xf>
    <xf numFmtId="0" fontId="20" fillId="0" borderId="0" xfId="0" applyFont="1" applyAlignment="1">
      <alignment horizontal="center"/>
    </xf>
    <xf numFmtId="0" fontId="21" fillId="0" borderId="0" xfId="0" applyFont="1" applyAlignment="1">
      <alignment horizontal="center"/>
    </xf>
    <xf numFmtId="0" fontId="22" fillId="0" borderId="0" xfId="0" applyFont="1"/>
    <xf numFmtId="41" fontId="9" fillId="0" borderId="0" xfId="1" applyNumberFormat="1" applyFont="1" applyFill="1"/>
    <xf numFmtId="43" fontId="9" fillId="0" borderId="0" xfId="1" applyFont="1" applyFill="1" applyBorder="1" applyAlignment="1">
      <alignment horizontal="center"/>
    </xf>
    <xf numFmtId="41" fontId="11" fillId="9" borderId="0" xfId="0" applyNumberFormat="1" applyFont="1" applyFill="1"/>
    <xf numFmtId="165" fontId="11" fillId="9" borderId="0" xfId="3" applyNumberFormat="1" applyFont="1" applyFill="1"/>
    <xf numFmtId="43" fontId="13" fillId="0" borderId="0" xfId="1" applyFont="1" applyBorder="1"/>
    <xf numFmtId="43" fontId="13" fillId="0" borderId="0" xfId="1" applyFont="1"/>
    <xf numFmtId="9" fontId="22" fillId="0" borderId="0" xfId="3" applyFont="1"/>
    <xf numFmtId="0" fontId="9" fillId="7" borderId="0" xfId="0" applyFont="1" applyFill="1" applyAlignment="1">
      <alignment horizontal="right"/>
    </xf>
    <xf numFmtId="165" fontId="23" fillId="9" borderId="0" xfId="3" applyNumberFormat="1" applyFont="1" applyFill="1"/>
    <xf numFmtId="9" fontId="24" fillId="0" borderId="0" xfId="3" applyFont="1"/>
    <xf numFmtId="41" fontId="10" fillId="0" borderId="0" xfId="0" applyNumberFormat="1" applyFont="1"/>
    <xf numFmtId="41" fontId="13" fillId="0" borderId="0" xfId="0" applyNumberFormat="1" applyFont="1"/>
    <xf numFmtId="41" fontId="9" fillId="0" borderId="0" xfId="0" applyNumberFormat="1" applyFont="1"/>
    <xf numFmtId="41" fontId="22" fillId="0" borderId="0" xfId="0" applyNumberFormat="1" applyFont="1"/>
    <xf numFmtId="165" fontId="9" fillId="0" borderId="0" xfId="0" applyNumberFormat="1" applyFont="1"/>
    <xf numFmtId="0" fontId="21" fillId="0" borderId="0" xfId="0" applyFont="1" applyAlignment="1">
      <alignment horizontal="left"/>
    </xf>
    <xf numFmtId="41" fontId="21" fillId="0" borderId="0" xfId="0" applyNumberFormat="1" applyFont="1" applyAlignment="1">
      <alignment horizontal="right"/>
    </xf>
    <xf numFmtId="165" fontId="13" fillId="9" borderId="0" xfId="3" applyNumberFormat="1" applyFont="1" applyFill="1"/>
    <xf numFmtId="41" fontId="20" fillId="0" borderId="0" xfId="0" applyNumberFormat="1" applyFont="1" applyAlignment="1">
      <alignment horizontal="left"/>
    </xf>
    <xf numFmtId="43" fontId="13" fillId="0" borderId="0" xfId="1" applyFont="1" applyFill="1"/>
    <xf numFmtId="9" fontId="22" fillId="0" borderId="0" xfId="3" applyFont="1" applyFill="1"/>
    <xf numFmtId="9" fontId="25" fillId="0" borderId="0" xfId="3" applyFont="1" applyFill="1"/>
    <xf numFmtId="41" fontId="20" fillId="0" borderId="0" xfId="0" applyNumberFormat="1" applyFont="1" applyAlignment="1">
      <alignment horizontal="center"/>
    </xf>
    <xf numFmtId="0" fontId="25" fillId="7" borderId="0" xfId="0" applyFont="1" applyFill="1" applyAlignment="1">
      <alignment horizontal="right"/>
    </xf>
    <xf numFmtId="41" fontId="10" fillId="7" borderId="0" xfId="0" applyNumberFormat="1" applyFont="1" applyFill="1" applyAlignment="1">
      <alignment horizontal="right"/>
    </xf>
    <xf numFmtId="0" fontId="10" fillId="7" borderId="0" xfId="0" applyFont="1" applyFill="1" applyAlignment="1">
      <alignment horizontal="right"/>
    </xf>
    <xf numFmtId="9" fontId="25" fillId="7" borderId="0" xfId="3" applyFont="1" applyFill="1"/>
    <xf numFmtId="0" fontId="10" fillId="7" borderId="0" xfId="0" applyFont="1" applyFill="1"/>
    <xf numFmtId="41" fontId="20" fillId="7" borderId="0" xfId="0" applyNumberFormat="1" applyFont="1" applyFill="1" applyAlignment="1">
      <alignment horizontal="center"/>
    </xf>
    <xf numFmtId="0" fontId="9" fillId="0" borderId="0" xfId="0" applyFont="1" applyAlignment="1">
      <alignment horizontal="left" vertical="center" wrapText="1"/>
    </xf>
    <xf numFmtId="0" fontId="9" fillId="0" borderId="0" xfId="0" applyFont="1" applyAlignment="1">
      <alignment horizontal="right" wrapText="1"/>
    </xf>
    <xf numFmtId="41" fontId="13" fillId="9" borderId="0" xfId="0" applyNumberFormat="1" applyFont="1" applyFill="1"/>
    <xf numFmtId="41" fontId="21" fillId="0" borderId="0" xfId="0" applyNumberFormat="1" applyFont="1"/>
    <xf numFmtId="0" fontId="20" fillId="0" borderId="0" xfId="0" applyFont="1" applyAlignment="1">
      <alignment horizontal="left"/>
    </xf>
    <xf numFmtId="0" fontId="20" fillId="0" borderId="0" xfId="0" applyFont="1"/>
    <xf numFmtId="0" fontId="22" fillId="0" borderId="2" xfId="0" applyFont="1" applyBorder="1"/>
    <xf numFmtId="0" fontId="9" fillId="0" borderId="2" xfId="0" applyFont="1" applyBorder="1"/>
    <xf numFmtId="0" fontId="9" fillId="0" borderId="2" xfId="0" applyFont="1" applyBorder="1" applyAlignment="1">
      <alignment horizontal="right"/>
    </xf>
    <xf numFmtId="0" fontId="21" fillId="0" borderId="0" xfId="0" applyFont="1"/>
    <xf numFmtId="0" fontId="27" fillId="0" borderId="0" xfId="0" applyFont="1"/>
    <xf numFmtId="0" fontId="28" fillId="3" borderId="0" xfId="0" applyFont="1" applyFill="1" applyAlignment="1">
      <alignment horizontal="center"/>
    </xf>
    <xf numFmtId="0" fontId="10" fillId="0" borderId="3" xfId="0" applyFont="1" applyBorder="1" applyAlignment="1">
      <alignment horizontal="right"/>
    </xf>
    <xf numFmtId="0" fontId="25" fillId="0" borderId="3" xfId="0" applyFont="1" applyBorder="1" applyAlignment="1">
      <alignment horizontal="right" wrapText="1"/>
    </xf>
    <xf numFmtId="0" fontId="10" fillId="0" borderId="3" xfId="0" applyFont="1" applyBorder="1" applyAlignment="1">
      <alignment horizontal="right" wrapText="1"/>
    </xf>
    <xf numFmtId="0" fontId="29" fillId="8" borderId="0" xfId="0" applyFont="1" applyFill="1"/>
    <xf numFmtId="165" fontId="11" fillId="0" borderId="0" xfId="1" applyNumberFormat="1" applyFont="1"/>
    <xf numFmtId="165" fontId="9" fillId="9" borderId="0" xfId="0" applyNumberFormat="1" applyFont="1" applyFill="1"/>
    <xf numFmtId="165" fontId="11" fillId="0" borderId="0" xfId="1" applyNumberFormat="1" applyFont="1" applyFill="1"/>
    <xf numFmtId="41" fontId="9" fillId="9" borderId="0" xfId="0" applyNumberFormat="1" applyFont="1" applyFill="1"/>
    <xf numFmtId="43" fontId="9" fillId="9" borderId="0" xfId="0" applyNumberFormat="1" applyFont="1" applyFill="1"/>
    <xf numFmtId="166" fontId="9" fillId="0" borderId="0" xfId="0" applyNumberFormat="1" applyFont="1"/>
    <xf numFmtId="43" fontId="9" fillId="9" borderId="0" xfId="1" applyFont="1" applyFill="1"/>
    <xf numFmtId="0" fontId="29" fillId="0" borderId="0" xfId="0" applyFont="1"/>
    <xf numFmtId="43" fontId="9" fillId="0" borderId="0" xfId="1" applyFont="1"/>
    <xf numFmtId="165" fontId="9" fillId="0" borderId="0" xfId="1" applyNumberFormat="1" applyFont="1"/>
    <xf numFmtId="0" fontId="22" fillId="0" borderId="0" xfId="0" applyFont="1" applyAlignment="1">
      <alignment horizontal="right"/>
    </xf>
    <xf numFmtId="0" fontId="9" fillId="6" borderId="0" xfId="0" applyFont="1" applyFill="1" applyAlignment="1">
      <alignment horizontal="right"/>
    </xf>
    <xf numFmtId="165" fontId="11" fillId="9" borderId="0" xfId="0" applyNumberFormat="1" applyFont="1" applyFill="1"/>
    <xf numFmtId="43" fontId="11" fillId="9" borderId="0" xfId="0" applyNumberFormat="1" applyFont="1" applyFill="1"/>
    <xf numFmtId="43" fontId="11" fillId="9" borderId="0" xfId="1" applyFont="1" applyFill="1"/>
    <xf numFmtId="165" fontId="11" fillId="0" borderId="0" xfId="1" applyNumberFormat="1" applyFont="1" applyFill="1" applyAlignment="1">
      <alignment horizontal="right"/>
    </xf>
    <xf numFmtId="165" fontId="11" fillId="0" borderId="0" xfId="0" applyNumberFormat="1" applyFont="1"/>
    <xf numFmtId="165" fontId="11" fillId="0" borderId="0" xfId="1" applyNumberFormat="1" applyFont="1" applyBorder="1"/>
    <xf numFmtId="165" fontId="30" fillId="0" borderId="0" xfId="1" applyNumberFormat="1" applyFont="1" applyBorder="1"/>
    <xf numFmtId="10" fontId="31" fillId="0" borderId="0" xfId="0" applyNumberFormat="1" applyFont="1"/>
    <xf numFmtId="2" fontId="9" fillId="0" borderId="0" xfId="0" applyNumberFormat="1" applyFont="1"/>
    <xf numFmtId="0" fontId="21" fillId="0" borderId="0" xfId="0" applyFont="1" applyAlignment="1">
      <alignment horizontal="right"/>
    </xf>
    <xf numFmtId="41" fontId="19" fillId="0" borderId="0" xfId="1" applyNumberFormat="1" applyFont="1" applyFill="1"/>
    <xf numFmtId="41" fontId="10" fillId="9" borderId="0" xfId="0" applyNumberFormat="1" applyFont="1" applyFill="1"/>
    <xf numFmtId="165" fontId="25" fillId="9" borderId="0" xfId="0" applyNumberFormat="1" applyFont="1" applyFill="1"/>
    <xf numFmtId="167" fontId="0" fillId="0" borderId="0" xfId="0" applyNumberFormat="1"/>
    <xf numFmtId="10" fontId="3" fillId="0" borderId="0" xfId="3" applyNumberFormat="1" applyFont="1" applyBorder="1" applyAlignment="1">
      <alignment horizontal="right"/>
    </xf>
    <xf numFmtId="10" fontId="8" fillId="0" borderId="0" xfId="3" applyNumberFormat="1" applyFont="1" applyBorder="1" applyAlignment="1">
      <alignment horizontal="right"/>
    </xf>
    <xf numFmtId="10" fontId="6" fillId="9" borderId="0" xfId="0" applyNumberFormat="1" applyFont="1" applyFill="1" applyAlignment="1">
      <alignment horizontal="right"/>
    </xf>
    <xf numFmtId="10" fontId="33" fillId="0" borderId="0" xfId="3" applyNumberFormat="1" applyFont="1" applyBorder="1" applyAlignment="1">
      <alignment horizontal="left"/>
    </xf>
    <xf numFmtId="10" fontId="6" fillId="0" borderId="0" xfId="0" applyNumberFormat="1" applyFont="1" applyAlignment="1">
      <alignment horizontal="right"/>
    </xf>
    <xf numFmtId="0" fontId="21" fillId="10" borderId="0" xfId="0" applyFont="1" applyFill="1"/>
    <xf numFmtId="0" fontId="9" fillId="10" borderId="0" xfId="0" applyFont="1" applyFill="1"/>
    <xf numFmtId="0" fontId="21" fillId="0" borderId="0" xfId="0" applyFont="1" applyAlignment="1">
      <alignment horizontal="left" wrapText="1"/>
    </xf>
    <xf numFmtId="2" fontId="11" fillId="9" borderId="0" xfId="0" applyNumberFormat="1" applyFont="1" applyFill="1"/>
    <xf numFmtId="0" fontId="34" fillId="0" borderId="0" xfId="0" applyFont="1"/>
    <xf numFmtId="41" fontId="10" fillId="0" borderId="0" xfId="0" applyNumberFormat="1" applyFont="1" applyAlignment="1">
      <alignment horizontal="right"/>
    </xf>
    <xf numFmtId="0" fontId="9" fillId="6" borderId="0" xfId="0" applyFont="1" applyFill="1" applyAlignment="1">
      <alignment horizontal="right" wrapText="1"/>
    </xf>
    <xf numFmtId="167" fontId="9" fillId="0" borderId="0" xfId="0" applyNumberFormat="1" applyFont="1"/>
    <xf numFmtId="10" fontId="11" fillId="0" borderId="0" xfId="3" applyNumberFormat="1" applyFont="1" applyBorder="1" applyAlignment="1">
      <alignment horizontal="right"/>
    </xf>
    <xf numFmtId="10" fontId="31" fillId="0" borderId="0" xfId="3" applyNumberFormat="1" applyFont="1" applyBorder="1" applyAlignment="1">
      <alignment horizontal="right"/>
    </xf>
    <xf numFmtId="0" fontId="25" fillId="0" borderId="0" xfId="0" applyFont="1" applyAlignment="1">
      <alignment horizontal="right"/>
    </xf>
    <xf numFmtId="10" fontId="25" fillId="9" borderId="0" xfId="0" applyNumberFormat="1" applyFont="1" applyFill="1" applyAlignment="1">
      <alignment horizontal="right"/>
    </xf>
    <xf numFmtId="10" fontId="35" fillId="0" borderId="0" xfId="3" applyNumberFormat="1" applyFont="1" applyBorder="1" applyAlignment="1">
      <alignment horizontal="left"/>
    </xf>
    <xf numFmtId="10" fontId="25" fillId="0" borderId="0" xfId="0" applyNumberFormat="1" applyFont="1" applyAlignment="1">
      <alignment horizontal="right"/>
    </xf>
    <xf numFmtId="0" fontId="21" fillId="5" borderId="0" xfId="0" applyFont="1" applyFill="1"/>
    <xf numFmtId="0" fontId="16" fillId="3" borderId="0" xfId="0" applyFont="1" applyFill="1" applyAlignment="1">
      <alignment horizontal="center"/>
    </xf>
    <xf numFmtId="0" fontId="12" fillId="0" borderId="0" xfId="0" applyFont="1" applyAlignment="1">
      <alignment horizontal="right"/>
    </xf>
    <xf numFmtId="0" fontId="29" fillId="5" borderId="0" xfId="0" applyFont="1" applyFill="1"/>
    <xf numFmtId="166" fontId="36" fillId="0" borderId="0" xfId="0" applyNumberFormat="1" applyFont="1"/>
    <xf numFmtId="166" fontId="36" fillId="0" borderId="0" xfId="2" applyNumberFormat="1" applyFont="1"/>
    <xf numFmtId="10" fontId="26" fillId="0" borderId="0" xfId="0" applyNumberFormat="1" applyFont="1"/>
    <xf numFmtId="165" fontId="25" fillId="9" borderId="0" xfId="3" applyNumberFormat="1" applyFont="1" applyFill="1"/>
    <xf numFmtId="2" fontId="9" fillId="9" borderId="0" xfId="0" applyNumberFormat="1" applyFont="1" applyFill="1"/>
    <xf numFmtId="1" fontId="9" fillId="9" borderId="0" xfId="0" applyNumberFormat="1" applyFont="1" applyFill="1"/>
    <xf numFmtId="44" fontId="30" fillId="9" borderId="4" xfId="2" applyFont="1" applyFill="1" applyBorder="1"/>
    <xf numFmtId="44" fontId="19" fillId="9" borderId="0" xfId="0" applyNumberFormat="1" applyFont="1" applyFill="1"/>
    <xf numFmtId="44" fontId="9" fillId="9" borderId="0" xfId="0" applyNumberFormat="1" applyFont="1" applyFill="1"/>
    <xf numFmtId="166" fontId="11" fillId="9" borderId="4" xfId="2" applyNumberFormat="1" applyFont="1" applyFill="1" applyBorder="1"/>
    <xf numFmtId="166" fontId="23" fillId="9" borderId="0" xfId="0" applyNumberFormat="1" applyFont="1" applyFill="1"/>
    <xf numFmtId="166" fontId="32" fillId="9" borderId="0" xfId="0" applyNumberFormat="1" applyFont="1" applyFill="1"/>
    <xf numFmtId="165" fontId="11" fillId="0" borderId="0" xfId="1" applyNumberFormat="1" applyFont="1" applyFill="1" applyBorder="1"/>
    <xf numFmtId="166" fontId="36" fillId="0" borderId="0" xfId="2" applyNumberFormat="1" applyFont="1" applyFill="1"/>
    <xf numFmtId="165" fontId="30" fillId="0" borderId="0" xfId="1" applyNumberFormat="1" applyFont="1" applyFill="1" applyBorder="1"/>
    <xf numFmtId="165" fontId="11" fillId="0" borderId="0" xfId="3" applyNumberFormat="1" applyFont="1" applyFill="1"/>
    <xf numFmtId="165" fontId="23" fillId="0" borderId="0" xfId="3" applyNumberFormat="1" applyFont="1" applyFill="1"/>
    <xf numFmtId="0" fontId="21" fillId="0" borderId="0" xfId="0" applyFont="1" applyAlignment="1">
      <alignment horizontal="right" vertical="top"/>
    </xf>
    <xf numFmtId="0" fontId="9" fillId="0" borderId="0" xfId="0" applyFont="1" applyAlignment="1">
      <alignment horizontal="left" wrapText="1"/>
    </xf>
    <xf numFmtId="0" fontId="9" fillId="0" borderId="0" xfId="0" applyFont="1" applyAlignment="1">
      <alignment wrapText="1"/>
    </xf>
    <xf numFmtId="0" fontId="21" fillId="0" borderId="0" xfId="0" applyFont="1" applyAlignment="1">
      <alignment horizontal="left" wrapText="1"/>
    </xf>
    <xf numFmtId="0" fontId="18" fillId="4" borderId="0" xfId="0" applyFont="1" applyFill="1" applyAlignment="1">
      <alignment horizontal="center" vertical="center" wrapText="1"/>
    </xf>
    <xf numFmtId="0" fontId="5" fillId="4" borderId="0" xfId="0" applyFont="1" applyFill="1" applyAlignment="1">
      <alignment horizontal="center" vertical="center" wrapText="1"/>
    </xf>
    <xf numFmtId="0" fontId="21"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Medium9"/>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198120</xdr:colOff>
      <xdr:row>1</xdr:row>
      <xdr:rowOff>114300</xdr:rowOff>
    </xdr:from>
    <xdr:to>
      <xdr:col>14</xdr:col>
      <xdr:colOff>33338</xdr:colOff>
      <xdr:row>11</xdr:row>
      <xdr:rowOff>30480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294120" y="297180"/>
          <a:ext cx="2273618" cy="17449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a:t>
          </a:r>
        </a:p>
      </xdr:txBody>
    </xdr:sp>
    <xdr:clientData/>
  </xdr:twoCellAnchor>
  <mc:AlternateContent xmlns:mc="http://schemas.openxmlformats.org/markup-compatibility/2006">
    <mc:Choice xmlns:a14="http://schemas.microsoft.com/office/drawing/2010/main" Requires="a14">
      <xdr:twoCellAnchor>
        <xdr:from>
          <xdr:col>0</xdr:col>
          <xdr:colOff>190500</xdr:colOff>
          <xdr:row>0</xdr:row>
          <xdr:rowOff>144780</xdr:rowOff>
        </xdr:from>
        <xdr:to>
          <xdr:col>9</xdr:col>
          <xdr:colOff>266700</xdr:colOff>
          <xdr:row>34</xdr:row>
          <xdr:rowOff>144780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46536</xdr:colOff>
      <xdr:row>35</xdr:row>
      <xdr:rowOff>168088</xdr:rowOff>
    </xdr:from>
    <xdr:to>
      <xdr:col>11</xdr:col>
      <xdr:colOff>504265</xdr:colOff>
      <xdr:row>36</xdr:row>
      <xdr:rowOff>212000</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flipH="1">
          <a:off x="12798830" y="9323294"/>
          <a:ext cx="1511082" cy="24561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646132</xdr:colOff>
      <xdr:row>29</xdr:row>
      <xdr:rowOff>188595</xdr:rowOff>
    </xdr:from>
    <xdr:to>
      <xdr:col>14</xdr:col>
      <xdr:colOff>375562</xdr:colOff>
      <xdr:row>34</xdr:row>
      <xdr:rowOff>26606</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4933632" y="8514566"/>
          <a:ext cx="3326518" cy="86895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Calculating</a:t>
          </a:r>
          <a:r>
            <a:rPr lang="en-US" sz="1100" baseline="0"/>
            <a:t> the weighted average sick days used over the years of service allows the  estimate to reflect the trend that employees use more leave in the later years or employment.</a:t>
          </a:r>
          <a:endParaRPr lang="en-US" sz="1100"/>
        </a:p>
      </xdr:txBody>
    </xdr:sp>
    <xdr:clientData/>
  </xdr:twoCellAnchor>
  <xdr:twoCellAnchor>
    <xdr:from>
      <xdr:col>15</xdr:col>
      <xdr:colOff>274639</xdr:colOff>
      <xdr:row>77</xdr:row>
      <xdr:rowOff>125395</xdr:rowOff>
    </xdr:from>
    <xdr:to>
      <xdr:col>19</xdr:col>
      <xdr:colOff>112093</xdr:colOff>
      <xdr:row>81</xdr:row>
      <xdr:rowOff>175933</xdr:rowOff>
    </xdr:to>
    <xdr:sp macro="" textlink="">
      <xdr:nvSpPr>
        <xdr:cNvPr id="6" name="TextBox 3">
          <a:extLst>
            <a:ext uri="{FF2B5EF4-FFF2-40B4-BE49-F238E27FC236}">
              <a16:creationId xmlns:a16="http://schemas.microsoft.com/office/drawing/2014/main" id="{00000000-0008-0000-0100-000006000000}"/>
            </a:ext>
            <a:ext uri="{147F2762-F138-4A5C-976F-8EAC2B608ADB}">
              <a16:predDERef xmlns:a16="http://schemas.microsoft.com/office/drawing/2014/main" pred="{00000000-0008-0000-0100-000003000000}"/>
            </a:ext>
          </a:extLst>
        </xdr:cNvPr>
        <xdr:cNvSpPr txBox="1"/>
      </xdr:nvSpPr>
      <xdr:spPr>
        <a:xfrm>
          <a:off x="18276889" y="19194445"/>
          <a:ext cx="3218829" cy="81253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For employees 12-16</a:t>
          </a:r>
          <a:r>
            <a:rPr lang="en-US" sz="1100" baseline="0"/>
            <a:t> (with service years of 18 or more), the estimate will use 185 days from tickmark G as the number of days "more likely than not to be used" during their service years.</a:t>
          </a:r>
          <a:endParaRPr lang="en-US" sz="1100"/>
        </a:p>
      </xdr:txBody>
    </xdr:sp>
    <xdr:clientData/>
  </xdr:twoCellAnchor>
  <xdr:twoCellAnchor>
    <xdr:from>
      <xdr:col>10</xdr:col>
      <xdr:colOff>220307</xdr:colOff>
      <xdr:row>33</xdr:row>
      <xdr:rowOff>13111</xdr:rowOff>
    </xdr:from>
    <xdr:to>
      <xdr:col>11</xdr:col>
      <xdr:colOff>553857</xdr:colOff>
      <xdr:row>34</xdr:row>
      <xdr:rowOff>116749</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flipH="1">
          <a:off x="13342395" y="9168317"/>
          <a:ext cx="1498962" cy="305344"/>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87742</xdr:colOff>
      <xdr:row>77</xdr:row>
      <xdr:rowOff>93457</xdr:rowOff>
    </xdr:from>
    <xdr:to>
      <xdr:col>15</xdr:col>
      <xdr:colOff>135366</xdr:colOff>
      <xdr:row>81</xdr:row>
      <xdr:rowOff>171898</xdr:rowOff>
    </xdr:to>
    <xdr:sp macro="" textlink="">
      <xdr:nvSpPr>
        <xdr:cNvPr id="7" name="Right Brace 6">
          <a:extLst>
            <a:ext uri="{FF2B5EF4-FFF2-40B4-BE49-F238E27FC236}">
              <a16:creationId xmlns:a16="http://schemas.microsoft.com/office/drawing/2014/main" id="{00000000-0008-0000-0100-000007000000}"/>
            </a:ext>
          </a:extLst>
        </xdr:cNvPr>
        <xdr:cNvSpPr/>
      </xdr:nvSpPr>
      <xdr:spPr>
        <a:xfrm>
          <a:off x="18274889" y="20163192"/>
          <a:ext cx="47624" cy="885265"/>
        </a:xfrm>
        <a:prstGeom prst="rightBrace">
          <a:avLst/>
        </a:prstGeom>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US" sz="1100"/>
        </a:p>
      </xdr:txBody>
    </xdr:sp>
    <xdr:clientData/>
  </xdr:twoCellAnchor>
  <xdr:twoCellAnchor>
    <xdr:from>
      <xdr:col>11</xdr:col>
      <xdr:colOff>583922</xdr:colOff>
      <xdr:row>34</xdr:row>
      <xdr:rowOff>119982</xdr:rowOff>
    </xdr:from>
    <xdr:to>
      <xdr:col>14</xdr:col>
      <xdr:colOff>298112</xdr:colOff>
      <xdr:row>41</xdr:row>
      <xdr:rowOff>141370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4871422" y="9476894"/>
          <a:ext cx="3311278" cy="163503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In this sample of former employees, three former employees had years of service that exceed</a:t>
          </a:r>
          <a:r>
            <a:rPr lang="en-US" sz="1100" baseline="0"/>
            <a:t> the average calculated in tickmark A-Avg.  To  address the leave expectations for 'long-term' employees, a second tier is calculated to estimate the average years of service expected if you exceed 18 years of service, and the weighted average days used as leave, if you exceed 18 years of service.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1504406</xdr:colOff>
      <xdr:row>31</xdr:row>
      <xdr:rowOff>17417</xdr:rowOff>
    </xdr:from>
    <xdr:to>
      <xdr:col>13</xdr:col>
      <xdr:colOff>892745</xdr:colOff>
      <xdr:row>35</xdr:row>
      <xdr:rowOff>54428</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4417585" y="8317774"/>
          <a:ext cx="3320803" cy="86704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Calculating</a:t>
          </a:r>
          <a:r>
            <a:rPr lang="en-US" sz="1100" baseline="0"/>
            <a:t> the weighted average sick days used over the years of service allows the  estimate to reflect the trend that employees use more leave in the later years or employment.</a:t>
          </a:r>
          <a:endParaRPr lang="en-US" sz="1100"/>
        </a:p>
      </xdr:txBody>
    </xdr:sp>
    <xdr:clientData/>
  </xdr:twoCellAnchor>
  <xdr:twoCellAnchor>
    <xdr:from>
      <xdr:col>11</xdr:col>
      <xdr:colOff>19050</xdr:colOff>
      <xdr:row>35</xdr:row>
      <xdr:rowOff>201929</xdr:rowOff>
    </xdr:from>
    <xdr:to>
      <xdr:col>13</xdr:col>
      <xdr:colOff>927579</xdr:colOff>
      <xdr:row>43</xdr:row>
      <xdr:rowOff>13607</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4456229" y="9332322"/>
          <a:ext cx="3316993" cy="163503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In this sample of former employees, three former employees had years of service that exceed</a:t>
          </a:r>
          <a:r>
            <a:rPr lang="en-US" sz="1100" baseline="0"/>
            <a:t> the average calculated in tickmark A-Avg.  To  address the leave expectations for 'long-term' employees, a second tier is calculated to estimate the average years of service expected if you exceed 18 years of service, and the weighted average days used as leave, if you exceed 18 years of service. </a:t>
          </a:r>
          <a:endParaRPr lang="en-US" sz="1100"/>
        </a:p>
      </xdr:txBody>
    </xdr:sp>
    <xdr:clientData/>
  </xdr:twoCellAnchor>
  <xdr:twoCellAnchor>
    <xdr:from>
      <xdr:col>10</xdr:col>
      <xdr:colOff>13607</xdr:colOff>
      <xdr:row>33</xdr:row>
      <xdr:rowOff>165191</xdr:rowOff>
    </xdr:from>
    <xdr:to>
      <xdr:col>10</xdr:col>
      <xdr:colOff>1518284</xdr:colOff>
      <xdr:row>35</xdr:row>
      <xdr:rowOff>68036</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flipH="1">
          <a:off x="12926786" y="8887370"/>
          <a:ext cx="1504677" cy="311059"/>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44631</xdr:colOff>
      <xdr:row>37</xdr:row>
      <xdr:rowOff>114573</xdr:rowOff>
    </xdr:from>
    <xdr:to>
      <xdr:col>11</xdr:col>
      <xdr:colOff>11973</xdr:colOff>
      <xdr:row>38</xdr:row>
      <xdr:rowOff>208190</xdr:rowOff>
    </xdr:to>
    <xdr:cxnSp macro="">
      <xdr:nvCxnSpPr>
        <xdr:cNvPr id="9" name="Straight Arrow Connector 8">
          <a:extLst>
            <a:ext uri="{FF2B5EF4-FFF2-40B4-BE49-F238E27FC236}">
              <a16:creationId xmlns:a16="http://schemas.microsoft.com/office/drawing/2014/main" id="{00000000-0008-0000-0200-000009000000}"/>
            </a:ext>
          </a:extLst>
        </xdr:cNvPr>
        <xdr:cNvCxnSpPr/>
      </xdr:nvCxnSpPr>
      <xdr:spPr>
        <a:xfrm flipH="1">
          <a:off x="12957810" y="9653180"/>
          <a:ext cx="1491342" cy="297724"/>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197673</xdr:colOff>
      <xdr:row>74</xdr:row>
      <xdr:rowOff>7393</xdr:rowOff>
    </xdr:from>
    <xdr:to>
      <xdr:col>21</xdr:col>
      <xdr:colOff>87795</xdr:colOff>
      <xdr:row>79</xdr:row>
      <xdr:rowOff>35521</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0088114" y="18945334"/>
          <a:ext cx="3330328" cy="103665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For employees 12-16</a:t>
          </a:r>
          <a:r>
            <a:rPr lang="en-US" sz="1100" baseline="0"/>
            <a:t> (with service years of 18 or more), the estimate will use 185 days from tickmark G as the number of days "more likely than not to be used" during their service years, and 27 years from tickmark AA-Avg as the number of expected total service years.. </a:t>
          </a:r>
          <a:endParaRPr lang="en-US" sz="1100"/>
        </a:p>
      </xdr:txBody>
    </xdr:sp>
    <xdr:clientData/>
  </xdr:twoCellAnchor>
  <xdr:twoCellAnchor>
    <xdr:from>
      <xdr:col>18</xdr:col>
      <xdr:colOff>20508</xdr:colOff>
      <xdr:row>74</xdr:row>
      <xdr:rowOff>56030</xdr:rowOff>
    </xdr:from>
    <xdr:to>
      <xdr:col>18</xdr:col>
      <xdr:colOff>209999</xdr:colOff>
      <xdr:row>79</xdr:row>
      <xdr:rowOff>20730</xdr:rowOff>
    </xdr:to>
    <xdr:sp macro="" textlink="">
      <xdr:nvSpPr>
        <xdr:cNvPr id="11" name="Right Brace 10">
          <a:extLst>
            <a:ext uri="{FF2B5EF4-FFF2-40B4-BE49-F238E27FC236}">
              <a16:creationId xmlns:a16="http://schemas.microsoft.com/office/drawing/2014/main" id="{00000000-0008-0000-0200-00000B000000}"/>
            </a:ext>
          </a:extLst>
        </xdr:cNvPr>
        <xdr:cNvSpPr/>
      </xdr:nvSpPr>
      <xdr:spPr>
        <a:xfrm>
          <a:off x="19910949" y="18993971"/>
          <a:ext cx="189491" cy="973230"/>
        </a:xfrm>
        <a:prstGeom prst="rightBrace">
          <a:avLst/>
        </a:prstGeom>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C158-2A40-4C78-BD9D-72098171AEEF}">
  <dimension ref="A1"/>
  <sheetViews>
    <sheetView tabSelected="1" workbookViewId="0">
      <selection activeCell="B1" sqref="B1"/>
    </sheetView>
  </sheetViews>
  <sheetFormatPr defaultRowHeight="14.4" x14ac:dyDescent="0.3"/>
  <sheetData/>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4097" r:id="rId4">
          <objectPr defaultSize="0" r:id="rId5">
            <anchor moveWithCells="1" sizeWithCells="1">
              <from>
                <xdr:col>0</xdr:col>
                <xdr:colOff>190500</xdr:colOff>
                <xdr:row>0</xdr:row>
                <xdr:rowOff>144780</xdr:rowOff>
              </from>
              <to>
                <xdr:col>9</xdr:col>
                <xdr:colOff>266700</xdr:colOff>
                <xdr:row>34</xdr:row>
                <xdr:rowOff>144780</xdr:rowOff>
              </to>
            </anchor>
          </objectPr>
        </oleObject>
      </mc:Choice>
      <mc:Fallback>
        <oleObject progId="Word.Document.12" shapeId="409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6B665-F545-4BCE-B551-E656B01566B6}">
  <dimension ref="A1:S99"/>
  <sheetViews>
    <sheetView showGridLines="0" zoomScale="85" zoomScaleNormal="85" workbookViewId="0">
      <pane xSplit="1" topLeftCell="B1" activePane="topRight" state="frozen"/>
      <selection activeCell="A70" sqref="A70"/>
      <selection pane="topRight" activeCell="B1" sqref="B1"/>
    </sheetView>
  </sheetViews>
  <sheetFormatPr defaultRowHeight="15.6" x14ac:dyDescent="0.3"/>
  <cols>
    <col min="1" max="1" width="8.88671875" style="7"/>
    <col min="2" max="2" width="49.109375" style="7" customWidth="1"/>
    <col min="3" max="3" width="2.5546875" style="7" customWidth="1"/>
    <col min="4" max="4" width="41.21875" style="7" bestFit="1" customWidth="1"/>
    <col min="5" max="5" width="13.5546875" style="7" bestFit="1" customWidth="1"/>
    <col min="6" max="6" width="14.88671875" style="7" bestFit="1" customWidth="1"/>
    <col min="7" max="7" width="13.5546875" style="7" bestFit="1" customWidth="1"/>
    <col min="8" max="8" width="14.33203125" style="7" bestFit="1" customWidth="1"/>
    <col min="9" max="9" width="16.33203125" style="7" bestFit="1" customWidth="1"/>
    <col min="10" max="11" width="17" style="7" customWidth="1"/>
    <col min="12" max="12" width="15.44140625" style="7" customWidth="1"/>
    <col min="13" max="13" width="18.33203125" style="7" customWidth="1"/>
    <col min="14" max="14" width="18.77734375" style="7" bestFit="1" customWidth="1"/>
    <col min="15" max="15" width="26.77734375" style="7" bestFit="1" customWidth="1"/>
    <col min="16" max="16" width="19.6640625" style="7" bestFit="1" customWidth="1"/>
    <col min="17" max="17" width="13.21875" style="7" bestFit="1" customWidth="1"/>
    <col min="18" max="16384" width="8.88671875" style="7"/>
  </cols>
  <sheetData>
    <row r="1" spans="2:16" x14ac:dyDescent="0.3">
      <c r="B1" s="8" t="s">
        <v>73</v>
      </c>
    </row>
    <row r="2" spans="2:16" x14ac:dyDescent="0.3">
      <c r="B2" s="8" t="s">
        <v>95</v>
      </c>
    </row>
    <row r="4" spans="2:16" ht="36.6" customHeight="1" x14ac:dyDescent="0.3">
      <c r="B4" s="145" t="s">
        <v>130</v>
      </c>
      <c r="C4" s="146"/>
      <c r="D4" s="146"/>
      <c r="E4" s="146"/>
      <c r="F4" s="146"/>
      <c r="G4" s="146"/>
      <c r="H4" s="146"/>
      <c r="I4" s="146"/>
      <c r="J4" s="146"/>
      <c r="K4" s="146"/>
      <c r="L4" s="146"/>
      <c r="M4" s="146"/>
      <c r="N4" s="146"/>
      <c r="O4" s="146"/>
      <c r="P4" s="146"/>
    </row>
    <row r="6" spans="2:16" ht="48.6" customHeight="1" x14ac:dyDescent="0.3">
      <c r="B6" s="145" t="s">
        <v>81</v>
      </c>
      <c r="C6" s="146"/>
      <c r="D6" s="146"/>
      <c r="E6" s="146"/>
      <c r="F6" s="146"/>
      <c r="G6" s="146"/>
      <c r="H6" s="146"/>
      <c r="I6" s="146"/>
      <c r="J6" s="146"/>
      <c r="K6" s="146"/>
      <c r="L6" s="146"/>
      <c r="M6" s="146"/>
      <c r="N6" s="146"/>
      <c r="O6" s="146"/>
      <c r="P6" s="146"/>
    </row>
    <row r="8" spans="2:16" x14ac:dyDescent="0.3">
      <c r="B8" s="9" t="s">
        <v>75</v>
      </c>
    </row>
    <row r="9" spans="2:16" x14ac:dyDescent="0.3">
      <c r="B9" s="9"/>
    </row>
    <row r="10" spans="2:16" x14ac:dyDescent="0.3">
      <c r="B10" s="12" t="s">
        <v>76</v>
      </c>
    </row>
    <row r="11" spans="2:16" x14ac:dyDescent="0.3">
      <c r="B11" s="9" t="s">
        <v>77</v>
      </c>
    </row>
    <row r="12" spans="2:16" x14ac:dyDescent="0.3">
      <c r="B12" s="145" t="s">
        <v>105</v>
      </c>
      <c r="C12" s="146"/>
      <c r="D12" s="146"/>
      <c r="E12" s="146"/>
      <c r="F12" s="146"/>
      <c r="G12" s="146"/>
      <c r="H12" s="146"/>
      <c r="I12" s="146"/>
      <c r="J12" s="146"/>
      <c r="K12" s="146"/>
      <c r="L12" s="146"/>
      <c r="M12" s="146"/>
      <c r="N12" s="146"/>
      <c r="O12" s="146"/>
      <c r="P12" s="146"/>
    </row>
    <row r="14" spans="2:16" s="13" customFormat="1" x14ac:dyDescent="0.3">
      <c r="D14" s="14"/>
      <c r="M14" s="15"/>
      <c r="N14" s="15"/>
      <c r="O14" s="16"/>
    </row>
    <row r="15" spans="2:16" x14ac:dyDescent="0.3">
      <c r="B15" s="18" t="s">
        <v>69</v>
      </c>
      <c r="C15" s="18"/>
      <c r="D15" s="19"/>
      <c r="M15" s="20"/>
      <c r="N15" s="20"/>
      <c r="O15" s="21"/>
    </row>
    <row r="16" spans="2:16" ht="55.2" customHeight="1" x14ac:dyDescent="0.3">
      <c r="B16" s="145" t="s">
        <v>82</v>
      </c>
      <c r="C16" s="145"/>
      <c r="D16" s="146"/>
      <c r="E16" s="146"/>
      <c r="F16" s="146"/>
      <c r="G16" s="146"/>
      <c r="H16" s="146"/>
      <c r="I16" s="146"/>
      <c r="J16" s="146"/>
      <c r="K16" s="146"/>
      <c r="L16" s="146"/>
      <c r="M16" s="146"/>
      <c r="N16" s="20"/>
      <c r="O16" s="21"/>
    </row>
    <row r="17" spans="2:19" ht="17.399999999999999" x14ac:dyDescent="0.4">
      <c r="B17" s="113"/>
      <c r="C17" s="113"/>
      <c r="D17" s="19"/>
      <c r="M17" s="20"/>
      <c r="N17" s="20"/>
      <c r="O17" s="21"/>
    </row>
    <row r="18" spans="2:19" x14ac:dyDescent="0.3">
      <c r="B18" s="7" t="s">
        <v>48</v>
      </c>
      <c r="D18" s="19"/>
      <c r="M18" s="20"/>
      <c r="N18" s="20"/>
      <c r="O18" s="21"/>
    </row>
    <row r="19" spans="2:19" ht="17.399999999999999" x14ac:dyDescent="0.4">
      <c r="B19" s="113"/>
      <c r="C19" s="113"/>
      <c r="D19" s="19"/>
      <c r="M19" s="20"/>
      <c r="N19" s="20"/>
      <c r="O19" s="21"/>
    </row>
    <row r="20" spans="2:19" ht="34.200000000000003" customHeight="1" x14ac:dyDescent="0.3">
      <c r="B20" s="145" t="s">
        <v>98</v>
      </c>
      <c r="C20" s="145"/>
      <c r="D20" s="146"/>
      <c r="E20" s="146"/>
      <c r="F20" s="146"/>
      <c r="G20" s="146"/>
      <c r="H20" s="146"/>
      <c r="I20" s="146"/>
      <c r="J20" s="146"/>
      <c r="K20" s="146"/>
      <c r="L20" s="146"/>
      <c r="M20" s="146"/>
      <c r="N20" s="20"/>
      <c r="O20" s="21"/>
    </row>
    <row r="21" spans="2:19" x14ac:dyDescent="0.3">
      <c r="B21" s="10"/>
      <c r="C21" s="10"/>
      <c r="D21" s="11"/>
      <c r="E21" s="11"/>
      <c r="F21" s="11"/>
      <c r="G21" s="11"/>
      <c r="H21" s="11"/>
      <c r="I21" s="11"/>
      <c r="J21" s="11"/>
      <c r="K21" s="11"/>
      <c r="L21" s="11"/>
      <c r="M21" s="11"/>
      <c r="N21" s="20"/>
      <c r="O21" s="21"/>
    </row>
    <row r="22" spans="2:19" ht="17.399999999999999" x14ac:dyDescent="0.45">
      <c r="B22" s="19"/>
      <c r="C22" s="19"/>
      <c r="D22" s="19"/>
      <c r="E22" s="22"/>
      <c r="F22" s="23"/>
      <c r="M22" s="20"/>
      <c r="N22" s="20"/>
      <c r="O22" s="21"/>
    </row>
    <row r="23" spans="2:19" x14ac:dyDescent="0.3">
      <c r="B23" s="19"/>
      <c r="C23" s="19"/>
      <c r="D23" s="19"/>
      <c r="E23" s="24" t="s">
        <v>0</v>
      </c>
      <c r="F23" s="24"/>
      <c r="G23" s="24" t="s">
        <v>0</v>
      </c>
      <c r="H23" s="24" t="s">
        <v>1</v>
      </c>
      <c r="I23" s="24" t="s">
        <v>1</v>
      </c>
      <c r="J23" s="24" t="s">
        <v>1</v>
      </c>
      <c r="K23" s="24"/>
      <c r="L23" s="25"/>
      <c r="M23" s="26"/>
      <c r="N23" s="20"/>
      <c r="O23" s="21"/>
    </row>
    <row r="24" spans="2:19" ht="93.6" customHeight="1" x14ac:dyDescent="0.45">
      <c r="B24" s="148" t="s">
        <v>96</v>
      </c>
      <c r="C24" s="27"/>
      <c r="D24" s="28"/>
      <c r="E24" s="29" t="s">
        <v>2</v>
      </c>
      <c r="F24" s="29"/>
      <c r="G24" s="29" t="s">
        <v>58</v>
      </c>
      <c r="H24" s="29" t="s">
        <v>71</v>
      </c>
      <c r="I24" s="29" t="s">
        <v>70</v>
      </c>
      <c r="J24" s="29" t="s">
        <v>108</v>
      </c>
      <c r="K24" s="29"/>
      <c r="M24" s="29"/>
      <c r="O24" s="21"/>
    </row>
    <row r="25" spans="2:19" x14ac:dyDescent="0.3">
      <c r="B25" s="148"/>
      <c r="C25" s="27"/>
      <c r="D25" s="28"/>
      <c r="E25" s="30" t="s">
        <v>4</v>
      </c>
      <c r="F25" s="30"/>
      <c r="G25" s="30" t="s">
        <v>5</v>
      </c>
      <c r="H25" s="30" t="s">
        <v>6</v>
      </c>
      <c r="I25" s="30" t="s">
        <v>7</v>
      </c>
      <c r="J25" s="31" t="s">
        <v>54</v>
      </c>
      <c r="K25" s="31"/>
      <c r="M25" s="32"/>
      <c r="N25" s="32"/>
      <c r="O25" s="21"/>
      <c r="P25" s="32"/>
      <c r="Q25" s="32"/>
      <c r="R25" s="32"/>
      <c r="S25" s="32"/>
    </row>
    <row r="26" spans="2:19" x14ac:dyDescent="0.3">
      <c r="B26" s="148"/>
      <c r="C26" s="27"/>
      <c r="D26" s="19" t="s">
        <v>8</v>
      </c>
      <c r="E26" s="33">
        <v>8</v>
      </c>
      <c r="F26" s="34"/>
      <c r="G26" s="33">
        <v>42</v>
      </c>
      <c r="H26" s="35">
        <f t="shared" ref="H26:H32" si="0">E26*E$40</f>
        <v>96</v>
      </c>
      <c r="I26" s="35">
        <f t="shared" ref="I26:I32" si="1">H26-G26</f>
        <v>54</v>
      </c>
      <c r="J26" s="36">
        <f t="shared" ref="J26:J32" si="2">E26*I26</f>
        <v>432</v>
      </c>
      <c r="K26" s="142"/>
      <c r="M26" s="32"/>
      <c r="N26" s="32"/>
      <c r="P26" s="37"/>
      <c r="Q26" s="38"/>
      <c r="R26" s="38"/>
      <c r="S26" s="39"/>
    </row>
    <row r="27" spans="2:19" x14ac:dyDescent="0.3">
      <c r="B27" s="148"/>
      <c r="C27" s="27"/>
      <c r="D27" s="19" t="s">
        <v>9</v>
      </c>
      <c r="E27" s="33">
        <v>9</v>
      </c>
      <c r="F27" s="34"/>
      <c r="G27" s="33">
        <v>45</v>
      </c>
      <c r="H27" s="35">
        <f t="shared" si="0"/>
        <v>108</v>
      </c>
      <c r="I27" s="35">
        <f t="shared" si="1"/>
        <v>63</v>
      </c>
      <c r="J27" s="36">
        <f t="shared" si="2"/>
        <v>567</v>
      </c>
      <c r="K27" s="142"/>
      <c r="M27" s="32"/>
      <c r="N27" s="32"/>
      <c r="P27" s="37"/>
      <c r="Q27" s="38"/>
      <c r="R27" s="38"/>
      <c r="S27" s="39"/>
    </row>
    <row r="28" spans="2:19" x14ac:dyDescent="0.3">
      <c r="B28" s="148"/>
      <c r="C28" s="27"/>
      <c r="D28" s="19" t="s">
        <v>10</v>
      </c>
      <c r="E28" s="33">
        <v>12</v>
      </c>
      <c r="F28" s="34"/>
      <c r="G28" s="33">
        <v>40</v>
      </c>
      <c r="H28" s="35">
        <f t="shared" si="0"/>
        <v>144</v>
      </c>
      <c r="I28" s="35">
        <f t="shared" si="1"/>
        <v>104</v>
      </c>
      <c r="J28" s="36">
        <f t="shared" si="2"/>
        <v>1248</v>
      </c>
      <c r="K28" s="142"/>
      <c r="M28" s="32"/>
      <c r="N28" s="32"/>
      <c r="P28" s="37"/>
      <c r="Q28" s="38"/>
      <c r="R28" s="38"/>
      <c r="S28" s="39"/>
    </row>
    <row r="29" spans="2:19" x14ac:dyDescent="0.3">
      <c r="B29" s="148"/>
      <c r="C29" s="27"/>
      <c r="D29" s="19" t="s">
        <v>11</v>
      </c>
      <c r="E29" s="33">
        <v>17</v>
      </c>
      <c r="F29" s="34"/>
      <c r="G29" s="33">
        <v>70</v>
      </c>
      <c r="H29" s="35">
        <f t="shared" si="0"/>
        <v>204</v>
      </c>
      <c r="I29" s="35">
        <f t="shared" si="1"/>
        <v>134</v>
      </c>
      <c r="J29" s="36">
        <f t="shared" si="2"/>
        <v>2278</v>
      </c>
      <c r="K29" s="142"/>
      <c r="M29" s="32"/>
      <c r="N29" s="32"/>
      <c r="P29" s="37"/>
      <c r="Q29" s="38"/>
      <c r="R29" s="38"/>
      <c r="S29" s="39"/>
    </row>
    <row r="30" spans="2:19" x14ac:dyDescent="0.3">
      <c r="B30" s="148"/>
      <c r="C30" s="27"/>
      <c r="D30" s="19" t="s">
        <v>12</v>
      </c>
      <c r="E30" s="33">
        <v>22</v>
      </c>
      <c r="F30" s="34"/>
      <c r="G30" s="33">
        <v>100</v>
      </c>
      <c r="H30" s="35">
        <f t="shared" si="0"/>
        <v>264</v>
      </c>
      <c r="I30" s="35">
        <f t="shared" si="1"/>
        <v>164</v>
      </c>
      <c r="J30" s="36">
        <f t="shared" si="2"/>
        <v>3608</v>
      </c>
      <c r="K30" s="142"/>
      <c r="M30" s="32"/>
      <c r="N30" s="32"/>
      <c r="P30" s="37"/>
      <c r="Q30" s="38"/>
      <c r="R30" s="38"/>
      <c r="S30" s="39"/>
    </row>
    <row r="31" spans="2:19" x14ac:dyDescent="0.3">
      <c r="B31" s="148"/>
      <c r="C31" s="27"/>
      <c r="D31" s="19" t="s">
        <v>13</v>
      </c>
      <c r="E31" s="33">
        <v>28</v>
      </c>
      <c r="F31" s="34"/>
      <c r="G31" s="33">
        <v>179</v>
      </c>
      <c r="H31" s="35">
        <f t="shared" si="0"/>
        <v>336</v>
      </c>
      <c r="I31" s="35">
        <f t="shared" si="1"/>
        <v>157</v>
      </c>
      <c r="J31" s="36">
        <f t="shared" si="2"/>
        <v>4396</v>
      </c>
      <c r="K31" s="142"/>
      <c r="M31" s="32"/>
      <c r="N31" s="32"/>
      <c r="P31" s="38"/>
      <c r="Q31" s="38"/>
      <c r="R31" s="38"/>
      <c r="S31" s="39"/>
    </row>
    <row r="32" spans="2:19" ht="17.399999999999999" x14ac:dyDescent="0.45">
      <c r="B32" s="148"/>
      <c r="C32" s="27"/>
      <c r="D32" s="19" t="s">
        <v>14</v>
      </c>
      <c r="E32" s="100">
        <v>32</v>
      </c>
      <c r="F32" s="34"/>
      <c r="G32" s="33">
        <v>160</v>
      </c>
      <c r="H32" s="35">
        <f t="shared" si="0"/>
        <v>384</v>
      </c>
      <c r="I32" s="35">
        <f t="shared" si="1"/>
        <v>224</v>
      </c>
      <c r="J32" s="41">
        <f t="shared" si="2"/>
        <v>7168</v>
      </c>
      <c r="K32" s="143"/>
      <c r="M32" s="32"/>
      <c r="N32" s="32"/>
      <c r="P32" s="38"/>
      <c r="Q32" s="38"/>
      <c r="R32" s="38"/>
      <c r="S32" s="42"/>
    </row>
    <row r="33" spans="1:19" x14ac:dyDescent="0.3">
      <c r="B33" s="148"/>
      <c r="C33" s="27"/>
      <c r="D33" s="19" t="s">
        <v>15</v>
      </c>
      <c r="E33" s="81">
        <f>SUM(E26:E32)</f>
        <v>128</v>
      </c>
      <c r="F33" s="19"/>
      <c r="G33" s="45"/>
      <c r="H33" s="46"/>
      <c r="I33" s="46"/>
      <c r="J33" s="90">
        <f>SUM(J26:J32)</f>
        <v>19697</v>
      </c>
      <c r="K33" s="94"/>
      <c r="M33" s="32"/>
      <c r="N33" s="32"/>
      <c r="P33" s="38"/>
      <c r="Q33" s="38"/>
      <c r="R33" s="38"/>
      <c r="S33" s="39"/>
    </row>
    <row r="34" spans="1:19" x14ac:dyDescent="0.3">
      <c r="B34" s="148"/>
      <c r="C34" s="27"/>
      <c r="D34" s="19"/>
      <c r="E34" s="45"/>
      <c r="F34" s="19"/>
      <c r="G34" s="45"/>
      <c r="I34" s="46"/>
      <c r="J34" s="94"/>
      <c r="K34" s="94"/>
      <c r="M34" s="32"/>
      <c r="N34" s="32"/>
      <c r="P34" s="38"/>
      <c r="Q34" s="38"/>
      <c r="R34" s="38"/>
      <c r="S34" s="39"/>
    </row>
    <row r="35" spans="1:19" x14ac:dyDescent="0.3">
      <c r="B35" s="148"/>
      <c r="C35" s="27"/>
      <c r="D35" s="22" t="s">
        <v>16</v>
      </c>
      <c r="E35" s="101">
        <f>ROUND(AVERAGE(E26:E32),0)</f>
        <v>18</v>
      </c>
      <c r="F35" s="48" t="s">
        <v>4</v>
      </c>
      <c r="G35" s="43"/>
      <c r="H35" s="43"/>
      <c r="I35" s="114"/>
      <c r="J35" s="36">
        <f>ROUND(J33/E33,0)</f>
        <v>154</v>
      </c>
      <c r="K35" s="51" t="s">
        <v>65</v>
      </c>
      <c r="M35" s="43"/>
      <c r="N35" s="32"/>
      <c r="P35" s="52"/>
      <c r="Q35" s="52"/>
      <c r="R35" s="52"/>
      <c r="S35" s="53"/>
    </row>
    <row r="36" spans="1:19" x14ac:dyDescent="0.3">
      <c r="B36" s="27"/>
      <c r="C36" s="27"/>
      <c r="D36" s="20"/>
      <c r="E36" s="19"/>
      <c r="F36" s="19"/>
      <c r="G36" s="54"/>
      <c r="I36" s="55"/>
      <c r="J36" s="55"/>
      <c r="K36" s="9"/>
      <c r="O36" s="21"/>
    </row>
    <row r="37" spans="1:19" ht="31.2" x14ac:dyDescent="0.3">
      <c r="B37" s="62"/>
      <c r="C37" s="62"/>
      <c r="D37" s="115" t="s">
        <v>17</v>
      </c>
      <c r="E37" s="101">
        <f>ROUND(AVERAGE(E30:E32),0)</f>
        <v>27</v>
      </c>
      <c r="F37" s="65" t="s">
        <v>72</v>
      </c>
      <c r="G37" s="45"/>
      <c r="I37" s="46"/>
      <c r="J37" s="130">
        <f>ROUND(SUM(J30:J32)/(SUM(E30:E32)),0)</f>
        <v>185</v>
      </c>
      <c r="K37" s="66" t="s">
        <v>60</v>
      </c>
      <c r="O37" s="21"/>
    </row>
    <row r="38" spans="1:19" x14ac:dyDescent="0.3">
      <c r="I38" s="30"/>
      <c r="J38" s="30"/>
      <c r="K38" s="30"/>
    </row>
    <row r="39" spans="1:19" x14ac:dyDescent="0.3">
      <c r="I39" s="30"/>
      <c r="J39" s="30"/>
      <c r="K39" s="30"/>
    </row>
    <row r="40" spans="1:19" x14ac:dyDescent="0.3">
      <c r="A40" s="32"/>
      <c r="D40" s="22" t="s">
        <v>18</v>
      </c>
      <c r="E40" s="7">
        <v>12</v>
      </c>
      <c r="F40" s="67" t="s">
        <v>106</v>
      </c>
    </row>
    <row r="43" spans="1:19" x14ac:dyDescent="0.3">
      <c r="B43" s="12" t="s">
        <v>59</v>
      </c>
      <c r="C43" s="19"/>
      <c r="L43" s="116"/>
      <c r="M43" s="20"/>
    </row>
    <row r="44" spans="1:19" x14ac:dyDescent="0.3">
      <c r="B44" s="7" t="s">
        <v>85</v>
      </c>
      <c r="C44" s="19"/>
      <c r="L44" s="116"/>
      <c r="M44" s="20"/>
    </row>
    <row r="45" spans="1:19" x14ac:dyDescent="0.3">
      <c r="B45" s="7" t="s">
        <v>93</v>
      </c>
      <c r="J45" s="11"/>
      <c r="K45" s="11"/>
      <c r="L45" s="11"/>
      <c r="M45" s="11"/>
    </row>
    <row r="46" spans="1:19" x14ac:dyDescent="0.3">
      <c r="B46" s="7" t="s">
        <v>92</v>
      </c>
    </row>
    <row r="48" spans="1:19" ht="52.2" x14ac:dyDescent="0.45">
      <c r="B48" s="148" t="s">
        <v>86</v>
      </c>
      <c r="F48" s="23" t="s">
        <v>87</v>
      </c>
      <c r="H48" s="23"/>
      <c r="M48" s="20"/>
    </row>
    <row r="49" spans="1:15" x14ac:dyDescent="0.3">
      <c r="B49" s="148"/>
      <c r="E49" s="19" t="s">
        <v>88</v>
      </c>
      <c r="F49" s="117">
        <v>6.2E-2</v>
      </c>
      <c r="H49" s="117"/>
    </row>
    <row r="50" spans="1:15" x14ac:dyDescent="0.3">
      <c r="B50" s="148"/>
      <c r="E50" s="19" t="s">
        <v>89</v>
      </c>
      <c r="F50" s="117">
        <v>1.4500000000000001E-2</v>
      </c>
      <c r="H50" s="117"/>
    </row>
    <row r="51" spans="1:15" x14ac:dyDescent="0.3">
      <c r="B51" s="148"/>
      <c r="E51" s="19" t="s">
        <v>90</v>
      </c>
      <c r="F51" s="118">
        <v>0.05</v>
      </c>
      <c r="H51" s="118"/>
    </row>
    <row r="52" spans="1:15" x14ac:dyDescent="0.3">
      <c r="B52" s="148"/>
      <c r="E52" s="119" t="s">
        <v>57</v>
      </c>
      <c r="F52" s="120">
        <f>SUM(F49:F51)</f>
        <v>0.1265</v>
      </c>
      <c r="G52" s="121" t="s">
        <v>91</v>
      </c>
      <c r="H52" s="122"/>
      <c r="I52" s="121"/>
    </row>
    <row r="57" spans="1:15" ht="16.2" thickBot="1" x14ac:dyDescent="0.35">
      <c r="A57" s="68"/>
      <c r="B57" s="69"/>
      <c r="C57" s="69"/>
      <c r="D57" s="70"/>
      <c r="E57" s="69"/>
      <c r="F57" s="69"/>
      <c r="G57" s="69"/>
      <c r="H57" s="69"/>
      <c r="I57" s="69"/>
      <c r="J57" s="69"/>
      <c r="K57" s="69"/>
      <c r="L57" s="69"/>
      <c r="M57" s="69"/>
      <c r="N57" s="69"/>
    </row>
    <row r="63" spans="1:15" x14ac:dyDescent="0.3">
      <c r="B63" s="123" t="s">
        <v>100</v>
      </c>
      <c r="C63" s="123"/>
      <c r="D63" s="123"/>
      <c r="E63" s="123"/>
      <c r="F63" s="123"/>
      <c r="G63" s="123"/>
      <c r="H63" s="123"/>
      <c r="I63" s="123"/>
      <c r="J63" s="123"/>
      <c r="K63" s="123"/>
      <c r="L63" s="123"/>
      <c r="M63" s="123"/>
      <c r="N63" s="123"/>
      <c r="O63" s="123"/>
    </row>
    <row r="64" spans="1:15" x14ac:dyDescent="0.3">
      <c r="E64" s="124" t="s">
        <v>0</v>
      </c>
      <c r="F64" s="124" t="s">
        <v>0</v>
      </c>
      <c r="G64" s="124" t="s">
        <v>1</v>
      </c>
      <c r="H64" s="124" t="s">
        <v>0</v>
      </c>
      <c r="I64" s="124" t="s">
        <v>1</v>
      </c>
      <c r="J64" s="124" t="s">
        <v>1</v>
      </c>
      <c r="K64" s="124" t="s">
        <v>1</v>
      </c>
      <c r="L64" s="124" t="s">
        <v>1</v>
      </c>
      <c r="M64" s="124" t="s">
        <v>1</v>
      </c>
      <c r="N64" s="124" t="s">
        <v>1</v>
      </c>
      <c r="O64" s="124" t="s">
        <v>1</v>
      </c>
    </row>
    <row r="65" spans="1:17" ht="109.2" x14ac:dyDescent="0.3">
      <c r="D65" s="74" t="s">
        <v>19</v>
      </c>
      <c r="E65" s="75" t="s">
        <v>125</v>
      </c>
      <c r="F65" s="74" t="s">
        <v>124</v>
      </c>
      <c r="G65" s="76" t="s">
        <v>121</v>
      </c>
      <c r="H65" s="75" t="s">
        <v>126</v>
      </c>
      <c r="I65" s="76" t="s">
        <v>101</v>
      </c>
      <c r="J65" s="76" t="s">
        <v>3</v>
      </c>
      <c r="K65" s="76" t="s">
        <v>131</v>
      </c>
      <c r="L65" s="76" t="s">
        <v>20</v>
      </c>
      <c r="M65" s="76" t="s">
        <v>21</v>
      </c>
      <c r="N65" s="76" t="s">
        <v>22</v>
      </c>
      <c r="O65" s="75" t="s">
        <v>102</v>
      </c>
    </row>
    <row r="66" spans="1:17" x14ac:dyDescent="0.3">
      <c r="D66" s="125"/>
      <c r="E66" s="30" t="s">
        <v>23</v>
      </c>
      <c r="F66" s="30" t="s">
        <v>24</v>
      </c>
      <c r="G66" s="30" t="s">
        <v>107</v>
      </c>
      <c r="H66" s="30" t="s">
        <v>25</v>
      </c>
      <c r="I66" s="30" t="s">
        <v>26</v>
      </c>
      <c r="J66" s="30" t="s">
        <v>27</v>
      </c>
      <c r="K66" s="30" t="s">
        <v>53</v>
      </c>
      <c r="L66" s="30" t="s">
        <v>50</v>
      </c>
      <c r="M66" s="30" t="s">
        <v>51</v>
      </c>
      <c r="N66" s="30" t="s">
        <v>52</v>
      </c>
      <c r="O66" s="30" t="s">
        <v>49</v>
      </c>
    </row>
    <row r="67" spans="1:17" x14ac:dyDescent="0.3">
      <c r="A67" s="126" t="s">
        <v>44</v>
      </c>
      <c r="D67" s="19" t="s">
        <v>28</v>
      </c>
      <c r="E67" s="78">
        <v>5</v>
      </c>
      <c r="F67" s="127">
        <v>223</v>
      </c>
      <c r="G67" s="79">
        <f>E67*E$40</f>
        <v>60</v>
      </c>
      <c r="H67" s="80">
        <v>38</v>
      </c>
      <c r="I67" s="79">
        <f>G67-H67</f>
        <v>22</v>
      </c>
      <c r="J67" s="131">
        <f t="shared" ref="J67:J82" si="3">ROUND(I67/E67,0)</f>
        <v>4</v>
      </c>
      <c r="K67" s="132">
        <f>IF(E67&lt;E$35,J$35,J$37)</f>
        <v>154</v>
      </c>
      <c r="L67" s="79">
        <f>IF(K67-I67&gt;0,K67-I67,0)</f>
        <v>132</v>
      </c>
      <c r="M67" s="132">
        <f t="shared" ref="M67:M82" si="4">MIN(H67,L67)</f>
        <v>38</v>
      </c>
      <c r="N67" s="84">
        <f t="shared" ref="N67:N82" si="5">IF(M67&gt;0,0,J67)</f>
        <v>0</v>
      </c>
      <c r="O67" s="84">
        <f t="shared" ref="O67:O82" si="6">ROUND(F67*(M67+N67),0)</f>
        <v>8474</v>
      </c>
      <c r="P67" s="85"/>
      <c r="Q67" s="85"/>
    </row>
    <row r="68" spans="1:17" x14ac:dyDescent="0.3">
      <c r="A68" s="126" t="s">
        <v>44</v>
      </c>
      <c r="D68" s="19" t="s">
        <v>29</v>
      </c>
      <c r="E68" s="78">
        <v>6</v>
      </c>
      <c r="F68" s="128">
        <v>238</v>
      </c>
      <c r="G68" s="79">
        <f>E68*E$40</f>
        <v>72</v>
      </c>
      <c r="H68" s="80">
        <v>40</v>
      </c>
      <c r="I68" s="79">
        <f t="shared" ref="I68:I82" si="7">G68-H68</f>
        <v>32</v>
      </c>
      <c r="J68" s="131">
        <f t="shared" si="3"/>
        <v>5</v>
      </c>
      <c r="K68" s="132">
        <f t="shared" ref="K68:K82" si="8">IF(E68&lt;E$35,J$35,J$37)</f>
        <v>154</v>
      </c>
      <c r="L68" s="79">
        <f t="shared" ref="L68:L82" si="9">IF(K68-I68&gt;0,K68-I68,0)</f>
        <v>122</v>
      </c>
      <c r="M68" s="132">
        <f t="shared" si="4"/>
        <v>40</v>
      </c>
      <c r="N68" s="84">
        <f t="shared" si="5"/>
        <v>0</v>
      </c>
      <c r="O68" s="84">
        <f t="shared" si="6"/>
        <v>9520</v>
      </c>
      <c r="P68" s="85"/>
      <c r="Q68" s="85"/>
    </row>
    <row r="69" spans="1:17" x14ac:dyDescent="0.3">
      <c r="A69" s="126" t="s">
        <v>44</v>
      </c>
      <c r="D69" s="19" t="s">
        <v>30</v>
      </c>
      <c r="E69" s="78">
        <v>7</v>
      </c>
      <c r="F69" s="128">
        <v>461</v>
      </c>
      <c r="G69" s="79">
        <f t="shared" ref="G69:G82" si="10">E69*E$40</f>
        <v>84</v>
      </c>
      <c r="H69" s="80">
        <v>30</v>
      </c>
      <c r="I69" s="79">
        <f t="shared" si="7"/>
        <v>54</v>
      </c>
      <c r="J69" s="131">
        <f t="shared" si="3"/>
        <v>8</v>
      </c>
      <c r="K69" s="132">
        <f t="shared" si="8"/>
        <v>154</v>
      </c>
      <c r="L69" s="79">
        <f t="shared" si="9"/>
        <v>100</v>
      </c>
      <c r="M69" s="132">
        <f t="shared" si="4"/>
        <v>30</v>
      </c>
      <c r="N69" s="84">
        <f t="shared" si="5"/>
        <v>0</v>
      </c>
      <c r="O69" s="84">
        <f t="shared" si="6"/>
        <v>13830</v>
      </c>
      <c r="P69" s="85"/>
      <c r="Q69" s="85"/>
    </row>
    <row r="70" spans="1:17" x14ac:dyDescent="0.3">
      <c r="A70" s="126" t="s">
        <v>44</v>
      </c>
      <c r="D70" s="19" t="s">
        <v>31</v>
      </c>
      <c r="E70" s="78">
        <v>7</v>
      </c>
      <c r="F70" s="128">
        <v>346</v>
      </c>
      <c r="G70" s="79">
        <f t="shared" si="10"/>
        <v>84</v>
      </c>
      <c r="H70" s="80">
        <v>28</v>
      </c>
      <c r="I70" s="79">
        <f t="shared" si="7"/>
        <v>56</v>
      </c>
      <c r="J70" s="131">
        <f t="shared" si="3"/>
        <v>8</v>
      </c>
      <c r="K70" s="132">
        <f t="shared" si="8"/>
        <v>154</v>
      </c>
      <c r="L70" s="79">
        <f t="shared" si="9"/>
        <v>98</v>
      </c>
      <c r="M70" s="132">
        <f t="shared" si="4"/>
        <v>28</v>
      </c>
      <c r="N70" s="84">
        <f t="shared" si="5"/>
        <v>0</v>
      </c>
      <c r="O70" s="84">
        <f t="shared" si="6"/>
        <v>9688</v>
      </c>
      <c r="P70" s="85"/>
      <c r="Q70" s="85"/>
    </row>
    <row r="71" spans="1:17" x14ac:dyDescent="0.3">
      <c r="A71" s="126" t="s">
        <v>44</v>
      </c>
      <c r="D71" s="19" t="s">
        <v>32</v>
      </c>
      <c r="E71" s="78">
        <v>8</v>
      </c>
      <c r="F71" s="128">
        <v>384</v>
      </c>
      <c r="G71" s="79">
        <f t="shared" si="10"/>
        <v>96</v>
      </c>
      <c r="H71" s="80">
        <v>50</v>
      </c>
      <c r="I71" s="79">
        <f t="shared" si="7"/>
        <v>46</v>
      </c>
      <c r="J71" s="131">
        <f t="shared" si="3"/>
        <v>6</v>
      </c>
      <c r="K71" s="132">
        <f t="shared" si="8"/>
        <v>154</v>
      </c>
      <c r="L71" s="79">
        <f t="shared" si="9"/>
        <v>108</v>
      </c>
      <c r="M71" s="132">
        <f t="shared" si="4"/>
        <v>50</v>
      </c>
      <c r="N71" s="84">
        <f t="shared" si="5"/>
        <v>0</v>
      </c>
      <c r="O71" s="84">
        <f t="shared" si="6"/>
        <v>19200</v>
      </c>
      <c r="P71" s="85"/>
      <c r="Q71" s="85"/>
    </row>
    <row r="72" spans="1:17" x14ac:dyDescent="0.3">
      <c r="A72" s="126" t="s">
        <v>44</v>
      </c>
      <c r="D72" s="19" t="s">
        <v>33</v>
      </c>
      <c r="E72" s="78">
        <v>10</v>
      </c>
      <c r="F72" s="128">
        <v>238</v>
      </c>
      <c r="G72" s="79">
        <f t="shared" si="10"/>
        <v>120</v>
      </c>
      <c r="H72" s="80">
        <v>48</v>
      </c>
      <c r="I72" s="79">
        <f t="shared" si="7"/>
        <v>72</v>
      </c>
      <c r="J72" s="131">
        <f t="shared" si="3"/>
        <v>7</v>
      </c>
      <c r="K72" s="132">
        <f t="shared" si="8"/>
        <v>154</v>
      </c>
      <c r="L72" s="79">
        <f t="shared" si="9"/>
        <v>82</v>
      </c>
      <c r="M72" s="132">
        <f t="shared" si="4"/>
        <v>48</v>
      </c>
      <c r="N72" s="84">
        <f t="shared" si="5"/>
        <v>0</v>
      </c>
      <c r="O72" s="84">
        <f t="shared" si="6"/>
        <v>11424</v>
      </c>
      <c r="P72" s="85"/>
      <c r="Q72" s="85"/>
    </row>
    <row r="73" spans="1:17" x14ac:dyDescent="0.3">
      <c r="A73" s="126" t="s">
        <v>44</v>
      </c>
      <c r="D73" s="19" t="s">
        <v>34</v>
      </c>
      <c r="E73" s="78">
        <v>12</v>
      </c>
      <c r="F73" s="128">
        <v>269</v>
      </c>
      <c r="G73" s="79">
        <f t="shared" si="10"/>
        <v>144</v>
      </c>
      <c r="H73" s="80">
        <v>36</v>
      </c>
      <c r="I73" s="79">
        <f t="shared" si="7"/>
        <v>108</v>
      </c>
      <c r="J73" s="131">
        <f t="shared" si="3"/>
        <v>9</v>
      </c>
      <c r="K73" s="132">
        <f t="shared" si="8"/>
        <v>154</v>
      </c>
      <c r="L73" s="79">
        <f t="shared" si="9"/>
        <v>46</v>
      </c>
      <c r="M73" s="132">
        <f t="shared" si="4"/>
        <v>36</v>
      </c>
      <c r="N73" s="84">
        <f t="shared" si="5"/>
        <v>0</v>
      </c>
      <c r="O73" s="84">
        <f t="shared" si="6"/>
        <v>9684</v>
      </c>
      <c r="P73" s="85"/>
      <c r="Q73" s="85"/>
    </row>
    <row r="74" spans="1:17" x14ac:dyDescent="0.3">
      <c r="A74" s="126" t="s">
        <v>44</v>
      </c>
      <c r="D74" s="19" t="s">
        <v>35</v>
      </c>
      <c r="E74" s="78">
        <v>12</v>
      </c>
      <c r="F74" s="128">
        <v>169</v>
      </c>
      <c r="G74" s="79">
        <f t="shared" si="10"/>
        <v>144</v>
      </c>
      <c r="H74" s="80">
        <v>52</v>
      </c>
      <c r="I74" s="79">
        <f t="shared" si="7"/>
        <v>92</v>
      </c>
      <c r="J74" s="131">
        <f t="shared" si="3"/>
        <v>8</v>
      </c>
      <c r="K74" s="132">
        <f t="shared" si="8"/>
        <v>154</v>
      </c>
      <c r="L74" s="79">
        <f t="shared" si="9"/>
        <v>62</v>
      </c>
      <c r="M74" s="132">
        <f t="shared" si="4"/>
        <v>52</v>
      </c>
      <c r="N74" s="84">
        <f t="shared" si="5"/>
        <v>0</v>
      </c>
      <c r="O74" s="84">
        <f t="shared" si="6"/>
        <v>8788</v>
      </c>
      <c r="P74" s="85"/>
      <c r="Q74" s="85"/>
    </row>
    <row r="75" spans="1:17" x14ac:dyDescent="0.3">
      <c r="A75" s="126" t="s">
        <v>44</v>
      </c>
      <c r="B75" s="20"/>
      <c r="C75" s="20"/>
      <c r="D75" s="19" t="s">
        <v>36</v>
      </c>
      <c r="E75" s="80">
        <v>15</v>
      </c>
      <c r="F75" s="128">
        <v>338</v>
      </c>
      <c r="G75" s="79">
        <f t="shared" si="10"/>
        <v>180</v>
      </c>
      <c r="H75" s="80">
        <v>42</v>
      </c>
      <c r="I75" s="79">
        <f t="shared" si="7"/>
        <v>138</v>
      </c>
      <c r="J75" s="131">
        <f t="shared" si="3"/>
        <v>9</v>
      </c>
      <c r="K75" s="132">
        <f t="shared" si="8"/>
        <v>154</v>
      </c>
      <c r="L75" s="79">
        <f t="shared" si="9"/>
        <v>16</v>
      </c>
      <c r="M75" s="132">
        <f t="shared" si="4"/>
        <v>16</v>
      </c>
      <c r="N75" s="84">
        <f t="shared" si="5"/>
        <v>0</v>
      </c>
      <c r="O75" s="84">
        <f t="shared" si="6"/>
        <v>5408</v>
      </c>
      <c r="P75" s="85"/>
      <c r="Q75" s="85"/>
    </row>
    <row r="76" spans="1:17" x14ac:dyDescent="0.3">
      <c r="A76" s="126" t="s">
        <v>44</v>
      </c>
      <c r="D76" s="19" t="s">
        <v>37</v>
      </c>
      <c r="E76" s="78">
        <v>16</v>
      </c>
      <c r="F76" s="128">
        <v>319</v>
      </c>
      <c r="G76" s="79">
        <f t="shared" si="10"/>
        <v>192</v>
      </c>
      <c r="H76" s="78">
        <v>110</v>
      </c>
      <c r="I76" s="79">
        <f t="shared" si="7"/>
        <v>82</v>
      </c>
      <c r="J76" s="131">
        <f t="shared" si="3"/>
        <v>5</v>
      </c>
      <c r="K76" s="132">
        <f t="shared" si="8"/>
        <v>154</v>
      </c>
      <c r="L76" s="79">
        <f t="shared" si="9"/>
        <v>72</v>
      </c>
      <c r="M76" s="132">
        <f t="shared" si="4"/>
        <v>72</v>
      </c>
      <c r="N76" s="84">
        <f t="shared" si="5"/>
        <v>0</v>
      </c>
      <c r="O76" s="84">
        <f t="shared" si="6"/>
        <v>22968</v>
      </c>
      <c r="P76" s="85"/>
      <c r="Q76" s="85"/>
    </row>
    <row r="77" spans="1:17" x14ac:dyDescent="0.3">
      <c r="A77" s="126" t="s">
        <v>44</v>
      </c>
      <c r="D77" s="19" t="s">
        <v>38</v>
      </c>
      <c r="E77" s="80">
        <v>16</v>
      </c>
      <c r="F77" s="140">
        <v>288</v>
      </c>
      <c r="G77" s="79">
        <f t="shared" si="10"/>
        <v>192</v>
      </c>
      <c r="H77" s="80">
        <v>100</v>
      </c>
      <c r="I77" s="79">
        <f t="shared" si="7"/>
        <v>92</v>
      </c>
      <c r="J77" s="131">
        <f t="shared" si="3"/>
        <v>6</v>
      </c>
      <c r="K77" s="132">
        <f t="shared" si="8"/>
        <v>154</v>
      </c>
      <c r="L77" s="79">
        <f t="shared" si="9"/>
        <v>62</v>
      </c>
      <c r="M77" s="132">
        <f t="shared" si="4"/>
        <v>62</v>
      </c>
      <c r="N77" s="84">
        <f t="shared" si="5"/>
        <v>0</v>
      </c>
      <c r="O77" s="84">
        <f t="shared" si="6"/>
        <v>17856</v>
      </c>
      <c r="P77" s="85"/>
      <c r="Q77" s="85"/>
    </row>
    <row r="78" spans="1:17" x14ac:dyDescent="0.3">
      <c r="A78" s="126" t="s">
        <v>44</v>
      </c>
      <c r="B78" s="88" t="s">
        <v>45</v>
      </c>
      <c r="C78" s="88"/>
      <c r="D78" s="89" t="s">
        <v>39</v>
      </c>
      <c r="E78" s="80">
        <v>18</v>
      </c>
      <c r="F78" s="140">
        <v>423</v>
      </c>
      <c r="G78" s="79">
        <f t="shared" si="10"/>
        <v>216</v>
      </c>
      <c r="H78" s="80">
        <v>145</v>
      </c>
      <c r="I78" s="79">
        <f t="shared" si="7"/>
        <v>71</v>
      </c>
      <c r="J78" s="131">
        <f t="shared" si="3"/>
        <v>4</v>
      </c>
      <c r="K78" s="132">
        <f t="shared" si="8"/>
        <v>185</v>
      </c>
      <c r="L78" s="79">
        <f t="shared" si="9"/>
        <v>114</v>
      </c>
      <c r="M78" s="132">
        <f t="shared" si="4"/>
        <v>114</v>
      </c>
      <c r="N78" s="84">
        <f t="shared" si="5"/>
        <v>0</v>
      </c>
      <c r="O78" s="84">
        <f t="shared" si="6"/>
        <v>48222</v>
      </c>
      <c r="P78" s="85"/>
      <c r="Q78" s="85"/>
    </row>
    <row r="79" spans="1:17" x14ac:dyDescent="0.3">
      <c r="A79" s="126" t="s">
        <v>44</v>
      </c>
      <c r="B79" s="88" t="s">
        <v>45</v>
      </c>
      <c r="C79" s="88"/>
      <c r="D79" s="89" t="s">
        <v>40</v>
      </c>
      <c r="E79" s="80">
        <v>20</v>
      </c>
      <c r="F79" s="140">
        <v>461</v>
      </c>
      <c r="G79" s="79">
        <f t="shared" si="10"/>
        <v>240</v>
      </c>
      <c r="H79" s="80">
        <v>120</v>
      </c>
      <c r="I79" s="79">
        <f t="shared" si="7"/>
        <v>120</v>
      </c>
      <c r="J79" s="131">
        <f t="shared" si="3"/>
        <v>6</v>
      </c>
      <c r="K79" s="132">
        <f t="shared" si="8"/>
        <v>185</v>
      </c>
      <c r="L79" s="79">
        <f t="shared" si="9"/>
        <v>65</v>
      </c>
      <c r="M79" s="132">
        <f t="shared" si="4"/>
        <v>65</v>
      </c>
      <c r="N79" s="84">
        <f t="shared" si="5"/>
        <v>0</v>
      </c>
      <c r="O79" s="84">
        <f t="shared" si="6"/>
        <v>29965</v>
      </c>
      <c r="P79" s="85"/>
      <c r="Q79" s="85"/>
    </row>
    <row r="80" spans="1:17" x14ac:dyDescent="0.3">
      <c r="A80" s="126" t="s">
        <v>44</v>
      </c>
      <c r="B80" s="88" t="s">
        <v>45</v>
      </c>
      <c r="C80" s="88"/>
      <c r="D80" s="89" t="s">
        <v>41</v>
      </c>
      <c r="E80" s="93">
        <v>24</v>
      </c>
      <c r="F80" s="140">
        <v>365</v>
      </c>
      <c r="G80" s="79">
        <f t="shared" si="10"/>
        <v>288</v>
      </c>
      <c r="H80" s="80">
        <v>160</v>
      </c>
      <c r="I80" s="79">
        <f t="shared" si="7"/>
        <v>128</v>
      </c>
      <c r="J80" s="131">
        <f t="shared" si="3"/>
        <v>5</v>
      </c>
      <c r="K80" s="132">
        <f t="shared" si="8"/>
        <v>185</v>
      </c>
      <c r="L80" s="79">
        <f t="shared" si="9"/>
        <v>57</v>
      </c>
      <c r="M80" s="132">
        <f t="shared" si="4"/>
        <v>57</v>
      </c>
      <c r="N80" s="84">
        <f t="shared" si="5"/>
        <v>0</v>
      </c>
      <c r="O80" s="84">
        <f t="shared" si="6"/>
        <v>20805</v>
      </c>
      <c r="P80" s="85"/>
      <c r="Q80" s="85"/>
    </row>
    <row r="81" spans="1:17" x14ac:dyDescent="0.3">
      <c r="A81" s="126" t="s">
        <v>44</v>
      </c>
      <c r="B81" s="88" t="s">
        <v>45</v>
      </c>
      <c r="C81" s="88"/>
      <c r="D81" s="89" t="s">
        <v>42</v>
      </c>
      <c r="E81" s="80">
        <v>29</v>
      </c>
      <c r="F81" s="140">
        <v>403</v>
      </c>
      <c r="G81" s="79">
        <f t="shared" si="10"/>
        <v>348</v>
      </c>
      <c r="H81" s="80">
        <v>154</v>
      </c>
      <c r="I81" s="79">
        <f t="shared" si="7"/>
        <v>194</v>
      </c>
      <c r="J81" s="131">
        <f t="shared" si="3"/>
        <v>7</v>
      </c>
      <c r="K81" s="132">
        <f t="shared" si="8"/>
        <v>185</v>
      </c>
      <c r="L81" s="79">
        <f>IF(K81-I81&gt;0,K81-I81,0)</f>
        <v>0</v>
      </c>
      <c r="M81" s="84">
        <f t="shared" si="4"/>
        <v>0</v>
      </c>
      <c r="N81" s="132">
        <f t="shared" si="5"/>
        <v>7</v>
      </c>
      <c r="O81" s="84">
        <f t="shared" si="6"/>
        <v>2821</v>
      </c>
      <c r="P81" s="85"/>
      <c r="Q81" s="85"/>
    </row>
    <row r="82" spans="1:17" x14ac:dyDescent="0.3">
      <c r="A82" s="126" t="s">
        <v>44</v>
      </c>
      <c r="B82" s="88" t="s">
        <v>45</v>
      </c>
      <c r="C82" s="88"/>
      <c r="D82" s="89" t="s">
        <v>43</v>
      </c>
      <c r="E82" s="93">
        <v>34</v>
      </c>
      <c r="F82" s="140">
        <v>576</v>
      </c>
      <c r="G82" s="79">
        <f t="shared" si="10"/>
        <v>408</v>
      </c>
      <c r="H82" s="80">
        <v>200</v>
      </c>
      <c r="I82" s="79">
        <f t="shared" si="7"/>
        <v>208</v>
      </c>
      <c r="J82" s="131">
        <f t="shared" si="3"/>
        <v>6</v>
      </c>
      <c r="K82" s="132">
        <f t="shared" si="8"/>
        <v>185</v>
      </c>
      <c r="L82" s="79">
        <f t="shared" si="9"/>
        <v>0</v>
      </c>
      <c r="M82" s="84">
        <f t="shared" si="4"/>
        <v>0</v>
      </c>
      <c r="N82" s="132">
        <f t="shared" si="5"/>
        <v>6</v>
      </c>
      <c r="O82" s="84">
        <f t="shared" si="6"/>
        <v>3456</v>
      </c>
      <c r="P82" s="85"/>
      <c r="Q82" s="85"/>
    </row>
    <row r="83" spans="1:17" ht="16.2" thickBot="1" x14ac:dyDescent="0.35">
      <c r="A83" s="126" t="s">
        <v>44</v>
      </c>
      <c r="D83" s="19"/>
      <c r="E83" s="94"/>
      <c r="G83" s="94"/>
      <c r="H83" s="139"/>
      <c r="I83" s="94"/>
      <c r="J83" s="96"/>
      <c r="K83" s="141"/>
      <c r="L83" s="96"/>
      <c r="M83" s="96"/>
      <c r="N83" s="96"/>
      <c r="O83" s="133">
        <f t="shared" ref="O83" si="11">SUM(O67:O82)</f>
        <v>242109</v>
      </c>
      <c r="P83" s="85"/>
      <c r="Q83" s="85"/>
    </row>
    <row r="84" spans="1:17" ht="16.2" thickTop="1" x14ac:dyDescent="0.3">
      <c r="O84" s="129">
        <f>F52</f>
        <v>0.1265</v>
      </c>
    </row>
    <row r="85" spans="1:17" ht="17.399999999999999" x14ac:dyDescent="0.45">
      <c r="N85" s="19" t="s">
        <v>59</v>
      </c>
      <c r="O85" s="134">
        <f>ROUND(O83*O84,0)</f>
        <v>30627</v>
      </c>
    </row>
    <row r="86" spans="1:17" x14ac:dyDescent="0.3">
      <c r="N86" s="19" t="s">
        <v>104</v>
      </c>
      <c r="O86" s="135">
        <f>O83+O85</f>
        <v>272736</v>
      </c>
    </row>
    <row r="87" spans="1:17" ht="15" customHeight="1" x14ac:dyDescent="0.3"/>
    <row r="88" spans="1:17" ht="15" customHeight="1" x14ac:dyDescent="0.3">
      <c r="C88" s="99" t="s">
        <v>53</v>
      </c>
      <c r="D88" s="71" t="s">
        <v>128</v>
      </c>
    </row>
    <row r="89" spans="1:17" ht="15" customHeight="1" x14ac:dyDescent="0.3">
      <c r="D89" s="71" t="s">
        <v>129</v>
      </c>
    </row>
    <row r="90" spans="1:17" ht="15" customHeight="1" x14ac:dyDescent="0.3"/>
    <row r="91" spans="1:17" x14ac:dyDescent="0.3">
      <c r="C91" s="99" t="s">
        <v>50</v>
      </c>
      <c r="D91" s="71" t="s">
        <v>119</v>
      </c>
    </row>
    <row r="92" spans="1:17" x14ac:dyDescent="0.3">
      <c r="C92" s="99"/>
    </row>
    <row r="93" spans="1:17" x14ac:dyDescent="0.3">
      <c r="C93" s="99" t="s">
        <v>51</v>
      </c>
      <c r="D93" s="147" t="s">
        <v>132</v>
      </c>
      <c r="E93" s="147"/>
      <c r="F93" s="147"/>
      <c r="G93" s="147"/>
      <c r="H93" s="147"/>
      <c r="I93" s="147"/>
      <c r="J93" s="147"/>
      <c r="K93" s="147"/>
      <c r="L93" s="147"/>
      <c r="M93" s="147"/>
      <c r="N93" s="147"/>
      <c r="O93" s="147"/>
    </row>
    <row r="94" spans="1:17" x14ac:dyDescent="0.3">
      <c r="C94" s="99"/>
      <c r="D94" s="147"/>
      <c r="E94" s="147"/>
      <c r="F94" s="147"/>
      <c r="G94" s="147"/>
      <c r="H94" s="147"/>
      <c r="I94" s="147"/>
      <c r="J94" s="147"/>
      <c r="K94" s="147"/>
      <c r="L94" s="147"/>
      <c r="M94" s="147"/>
      <c r="N94" s="147"/>
      <c r="O94" s="147"/>
    </row>
    <row r="95" spans="1:17" x14ac:dyDescent="0.3">
      <c r="C95" s="99"/>
      <c r="D95" s="111"/>
      <c r="E95" s="111"/>
      <c r="F95" s="111"/>
      <c r="G95" s="111"/>
      <c r="H95" s="111"/>
      <c r="I95" s="111"/>
      <c r="J95" s="111"/>
      <c r="K95" s="111"/>
      <c r="L95" s="111"/>
      <c r="M95" s="111"/>
      <c r="N95" s="111"/>
      <c r="O95" s="111"/>
    </row>
    <row r="96" spans="1:17" x14ac:dyDescent="0.3">
      <c r="C96" s="99" t="s">
        <v>52</v>
      </c>
      <c r="D96" s="71" t="s">
        <v>109</v>
      </c>
    </row>
    <row r="99" spans="5:5" x14ac:dyDescent="0.3">
      <c r="E99" s="71"/>
    </row>
  </sheetData>
  <mergeCells count="8">
    <mergeCell ref="B4:P4"/>
    <mergeCell ref="B6:P6"/>
    <mergeCell ref="B12:P12"/>
    <mergeCell ref="D93:O94"/>
    <mergeCell ref="B16:M16"/>
    <mergeCell ref="B20:M20"/>
    <mergeCell ref="B24:B35"/>
    <mergeCell ref="B48:B5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B101"/>
  <sheetViews>
    <sheetView showGridLines="0" zoomScale="70" zoomScaleNormal="70" workbookViewId="0">
      <selection activeCell="B1" sqref="B1"/>
    </sheetView>
  </sheetViews>
  <sheetFormatPr defaultRowHeight="15.6" x14ac:dyDescent="0.3"/>
  <cols>
    <col min="1" max="1" width="8.88671875" style="7"/>
    <col min="2" max="2" width="45.44140625" style="7" customWidth="1"/>
    <col min="3" max="3" width="2.5546875" style="7" customWidth="1"/>
    <col min="4" max="4" width="41.21875" style="7" bestFit="1" customWidth="1"/>
    <col min="5" max="5" width="12.44140625" style="7" customWidth="1"/>
    <col min="6" max="6" width="13.88671875" style="7" customWidth="1"/>
    <col min="7" max="7" width="13.6640625" style="7" customWidth="1"/>
    <col min="8" max="8" width="12.77734375" style="7" bestFit="1" customWidth="1"/>
    <col min="9" max="9" width="14.6640625" style="7" customWidth="1"/>
    <col min="10" max="11" width="21.21875" style="7" customWidth="1"/>
    <col min="12" max="12" width="23.77734375" style="7" customWidth="1"/>
    <col min="13" max="13" width="22.21875" style="7" customWidth="1"/>
    <col min="14" max="14" width="18.33203125" style="7" customWidth="1"/>
    <col min="15" max="15" width="16.88671875" style="7" bestFit="1" customWidth="1"/>
    <col min="16" max="16" width="15.44140625" style="7" customWidth="1"/>
    <col min="17" max="17" width="16.77734375" style="7" customWidth="1"/>
    <col min="18" max="18" width="15.6640625" style="7" customWidth="1"/>
    <col min="19" max="19" width="17.21875" style="7" customWidth="1"/>
    <col min="20" max="20" width="19.6640625" style="7" bestFit="1" customWidth="1"/>
    <col min="21" max="21" width="13.21875" style="7" bestFit="1" customWidth="1"/>
    <col min="22" max="23" width="8.88671875" style="7"/>
    <col min="24" max="24" width="10.21875" style="7" bestFit="1" customWidth="1"/>
    <col min="25" max="25" width="8.88671875" style="7"/>
    <col min="26" max="26" width="85.77734375" style="7" customWidth="1"/>
    <col min="27" max="27" width="10.5546875" style="7" bestFit="1" customWidth="1"/>
    <col min="28" max="28" width="3.33203125" style="9" customWidth="1"/>
    <col min="29" max="16384" width="8.88671875" style="7"/>
  </cols>
  <sheetData>
    <row r="1" spans="2:28" x14ac:dyDescent="0.3">
      <c r="B1" s="8" t="s">
        <v>73</v>
      </c>
    </row>
    <row r="2" spans="2:28" x14ac:dyDescent="0.3">
      <c r="B2" s="8" t="s">
        <v>74</v>
      </c>
    </row>
    <row r="4" spans="2:28" ht="40.200000000000003" customHeight="1" x14ac:dyDescent="0.3">
      <c r="B4" s="145" t="s">
        <v>103</v>
      </c>
      <c r="C4" s="146"/>
      <c r="D4" s="146"/>
      <c r="E4" s="146"/>
      <c r="F4" s="146"/>
      <c r="G4" s="146"/>
      <c r="H4" s="146"/>
      <c r="I4" s="146"/>
      <c r="J4" s="146"/>
      <c r="K4" s="146"/>
      <c r="L4" s="146"/>
      <c r="M4" s="146"/>
      <c r="N4" s="146"/>
      <c r="O4" s="146"/>
      <c r="P4" s="146"/>
      <c r="Q4" s="146"/>
    </row>
    <row r="6" spans="2:28" ht="52.8" customHeight="1" x14ac:dyDescent="0.3">
      <c r="B6" s="145" t="s">
        <v>81</v>
      </c>
      <c r="C6" s="146"/>
      <c r="D6" s="146"/>
      <c r="E6" s="146"/>
      <c r="F6" s="146"/>
      <c r="G6" s="146"/>
      <c r="H6" s="146"/>
      <c r="I6" s="146"/>
      <c r="J6" s="146"/>
      <c r="K6" s="146"/>
      <c r="L6" s="146"/>
      <c r="M6" s="146"/>
      <c r="N6" s="146"/>
      <c r="O6" s="146"/>
      <c r="P6" s="146"/>
      <c r="Q6" s="146"/>
    </row>
    <row r="8" spans="2:28" x14ac:dyDescent="0.3">
      <c r="B8" s="9" t="s">
        <v>75</v>
      </c>
    </row>
    <row r="9" spans="2:28" x14ac:dyDescent="0.3">
      <c r="B9" s="9"/>
    </row>
    <row r="10" spans="2:28" x14ac:dyDescent="0.3">
      <c r="B10" s="12" t="s">
        <v>76</v>
      </c>
    </row>
    <row r="11" spans="2:28" x14ac:dyDescent="0.3">
      <c r="B11" s="9" t="s">
        <v>77</v>
      </c>
    </row>
    <row r="12" spans="2:28" x14ac:dyDescent="0.3">
      <c r="B12" s="145" t="s">
        <v>105</v>
      </c>
      <c r="C12" s="146"/>
      <c r="D12" s="146"/>
      <c r="E12" s="146"/>
      <c r="F12" s="146"/>
      <c r="G12" s="146"/>
      <c r="H12" s="146"/>
      <c r="I12" s="146"/>
      <c r="J12" s="146"/>
      <c r="K12" s="146"/>
      <c r="L12" s="146"/>
      <c r="M12" s="146"/>
      <c r="N12" s="146"/>
      <c r="O12" s="146"/>
      <c r="P12" s="146"/>
      <c r="Q12" s="146"/>
    </row>
    <row r="15" spans="2:28" s="13" customFormat="1" x14ac:dyDescent="0.3">
      <c r="D15" s="14"/>
      <c r="N15" s="15"/>
      <c r="O15" s="15"/>
      <c r="P15" s="15"/>
      <c r="Q15" s="15"/>
      <c r="R15" s="15"/>
      <c r="S15" s="16"/>
      <c r="AB15" s="17"/>
    </row>
    <row r="16" spans="2:28" x14ac:dyDescent="0.3">
      <c r="B16" s="18" t="s">
        <v>69</v>
      </c>
      <c r="C16" s="18"/>
      <c r="D16" s="19"/>
      <c r="N16" s="20"/>
      <c r="O16" s="20"/>
      <c r="P16" s="20"/>
      <c r="Q16" s="20"/>
      <c r="R16" s="20"/>
      <c r="S16" s="21"/>
    </row>
    <row r="17" spans="2:23" ht="35.4" customHeight="1" x14ac:dyDescent="0.3">
      <c r="B17" s="151" t="s">
        <v>82</v>
      </c>
      <c r="C17" s="151"/>
      <c r="D17" s="152"/>
      <c r="E17" s="152"/>
      <c r="F17" s="152"/>
      <c r="G17" s="152"/>
      <c r="H17" s="152"/>
      <c r="I17" s="152"/>
      <c r="J17" s="152"/>
      <c r="K17" s="152"/>
      <c r="L17" s="152"/>
      <c r="M17" s="152"/>
      <c r="N17" s="152"/>
      <c r="O17" s="20"/>
      <c r="P17" s="20"/>
      <c r="Q17" s="20"/>
      <c r="R17" s="20"/>
      <c r="S17" s="21"/>
    </row>
    <row r="18" spans="2:23" x14ac:dyDescent="0.3">
      <c r="D18" s="19"/>
      <c r="N18" s="20"/>
      <c r="O18" s="20"/>
      <c r="P18" s="20"/>
      <c r="Q18" s="20"/>
      <c r="R18" s="20"/>
      <c r="S18" s="21"/>
    </row>
    <row r="19" spans="2:23" x14ac:dyDescent="0.3">
      <c r="B19" s="7" t="s">
        <v>48</v>
      </c>
      <c r="D19" s="19"/>
      <c r="N19" s="20"/>
      <c r="O19" s="20"/>
      <c r="P19" s="20"/>
      <c r="Q19" s="20"/>
      <c r="R19" s="20"/>
      <c r="S19" s="21"/>
    </row>
    <row r="20" spans="2:23" x14ac:dyDescent="0.3">
      <c r="D20" s="19"/>
      <c r="N20" s="20"/>
      <c r="O20" s="20"/>
      <c r="P20" s="20"/>
      <c r="Q20" s="20"/>
      <c r="R20" s="20"/>
      <c r="S20" s="21"/>
    </row>
    <row r="21" spans="2:23" ht="38.4" customHeight="1" x14ac:dyDescent="0.3">
      <c r="B21" s="145" t="s">
        <v>97</v>
      </c>
      <c r="C21" s="145"/>
      <c r="D21" s="146"/>
      <c r="E21" s="146"/>
      <c r="F21" s="146"/>
      <c r="G21" s="146"/>
      <c r="H21" s="146"/>
      <c r="I21" s="146"/>
      <c r="J21" s="146"/>
      <c r="K21" s="146"/>
      <c r="L21" s="146"/>
      <c r="M21" s="146"/>
      <c r="N21" s="146"/>
      <c r="O21" s="20"/>
      <c r="P21" s="20"/>
      <c r="Q21" s="20"/>
      <c r="R21" s="20"/>
      <c r="S21" s="21"/>
    </row>
    <row r="22" spans="2:23" x14ac:dyDescent="0.3">
      <c r="B22" s="10"/>
      <c r="C22" s="10"/>
      <c r="D22" s="11"/>
      <c r="E22" s="11"/>
      <c r="F22" s="11"/>
      <c r="G22" s="11"/>
      <c r="H22" s="11"/>
      <c r="I22" s="11"/>
      <c r="J22" s="11"/>
      <c r="K22" s="11"/>
      <c r="L22" s="11"/>
      <c r="M22" s="11"/>
      <c r="N22" s="11"/>
      <c r="O22" s="20"/>
      <c r="P22" s="20"/>
      <c r="Q22" s="20"/>
      <c r="R22" s="20"/>
      <c r="S22" s="21"/>
    </row>
    <row r="23" spans="2:23" ht="17.399999999999999" x14ac:dyDescent="0.45">
      <c r="B23" s="19"/>
      <c r="C23" s="19"/>
      <c r="D23" s="19"/>
      <c r="E23" s="22"/>
      <c r="F23" s="23"/>
      <c r="N23" s="20"/>
      <c r="O23" s="20"/>
      <c r="P23" s="20"/>
      <c r="Q23" s="20"/>
      <c r="R23" s="20"/>
      <c r="S23" s="21"/>
    </row>
    <row r="24" spans="2:23" x14ac:dyDescent="0.3">
      <c r="B24" s="19"/>
      <c r="C24" s="19"/>
      <c r="D24" s="19"/>
      <c r="E24" s="24" t="s">
        <v>0</v>
      </c>
      <c r="F24" s="24"/>
      <c r="G24" s="24" t="s">
        <v>0</v>
      </c>
      <c r="H24" s="24" t="s">
        <v>1</v>
      </c>
      <c r="I24" s="24" t="s">
        <v>1</v>
      </c>
      <c r="J24" s="24" t="s">
        <v>1</v>
      </c>
      <c r="K24" s="25"/>
      <c r="L24" s="26"/>
      <c r="M24" s="20"/>
      <c r="N24" s="20"/>
      <c r="O24" s="20"/>
      <c r="P24" s="20"/>
      <c r="Q24" s="21"/>
    </row>
    <row r="25" spans="2:23" ht="87" x14ac:dyDescent="0.45">
      <c r="B25" s="148" t="s">
        <v>96</v>
      </c>
      <c r="C25" s="27"/>
      <c r="D25" s="28"/>
      <c r="E25" s="29" t="s">
        <v>2</v>
      </c>
      <c r="F25" s="29"/>
      <c r="G25" s="29" t="s">
        <v>58</v>
      </c>
      <c r="H25" s="29" t="s">
        <v>83</v>
      </c>
      <c r="I25" s="29" t="s">
        <v>84</v>
      </c>
      <c r="J25" s="29" t="s">
        <v>108</v>
      </c>
      <c r="L25" s="29"/>
      <c r="Q25" s="21"/>
    </row>
    <row r="26" spans="2:23" x14ac:dyDescent="0.3">
      <c r="B26" s="148"/>
      <c r="C26" s="27"/>
      <c r="D26" s="28"/>
      <c r="E26" s="30" t="s">
        <v>4</v>
      </c>
      <c r="F26" s="30"/>
      <c r="G26" s="30" t="s">
        <v>61</v>
      </c>
      <c r="H26" s="30" t="s">
        <v>62</v>
      </c>
      <c r="I26" s="30" t="s">
        <v>63</v>
      </c>
      <c r="J26" s="31" t="s">
        <v>64</v>
      </c>
      <c r="L26" s="32"/>
      <c r="M26" s="32"/>
      <c r="N26" s="32"/>
      <c r="O26" s="32"/>
      <c r="P26" s="32"/>
      <c r="Q26" s="21"/>
      <c r="T26" s="32"/>
      <c r="U26" s="32"/>
      <c r="V26" s="32"/>
      <c r="W26" s="32"/>
    </row>
    <row r="27" spans="2:23" x14ac:dyDescent="0.3">
      <c r="B27" s="148"/>
      <c r="C27" s="27"/>
      <c r="D27" s="19" t="s">
        <v>8</v>
      </c>
      <c r="E27" s="33">
        <v>8</v>
      </c>
      <c r="F27" s="34"/>
      <c r="G27" s="33">
        <v>42</v>
      </c>
      <c r="H27" s="35">
        <f t="shared" ref="H27:H33" si="0">E27*E$42</f>
        <v>96</v>
      </c>
      <c r="I27" s="35">
        <f t="shared" ref="I27:I33" si="1">H27-G27</f>
        <v>54</v>
      </c>
      <c r="J27" s="36">
        <f t="shared" ref="J27:J33" si="2">E27*I27</f>
        <v>432</v>
      </c>
      <c r="L27" s="32"/>
      <c r="M27" s="32"/>
      <c r="N27" s="32"/>
      <c r="O27" s="32"/>
      <c r="P27" s="32"/>
      <c r="T27" s="37"/>
      <c r="U27" s="38"/>
      <c r="V27" s="38"/>
      <c r="W27" s="39"/>
    </row>
    <row r="28" spans="2:23" x14ac:dyDescent="0.3">
      <c r="B28" s="148"/>
      <c r="C28" s="27"/>
      <c r="D28" s="19" t="s">
        <v>9</v>
      </c>
      <c r="E28" s="33">
        <v>9</v>
      </c>
      <c r="F28" s="34"/>
      <c r="G28" s="33">
        <v>45</v>
      </c>
      <c r="H28" s="35">
        <f t="shared" si="0"/>
        <v>108</v>
      </c>
      <c r="I28" s="35">
        <f t="shared" si="1"/>
        <v>63</v>
      </c>
      <c r="J28" s="36">
        <f t="shared" si="2"/>
        <v>567</v>
      </c>
      <c r="L28" s="32"/>
      <c r="M28" s="32"/>
      <c r="N28" s="32"/>
      <c r="O28" s="32"/>
      <c r="P28" s="32"/>
      <c r="T28" s="37"/>
      <c r="U28" s="38"/>
      <c r="V28" s="38"/>
      <c r="W28" s="39"/>
    </row>
    <row r="29" spans="2:23" x14ac:dyDescent="0.3">
      <c r="B29" s="148"/>
      <c r="C29" s="27"/>
      <c r="D29" s="19" t="s">
        <v>10</v>
      </c>
      <c r="E29" s="33">
        <v>12</v>
      </c>
      <c r="F29" s="34"/>
      <c r="G29" s="33">
        <v>40</v>
      </c>
      <c r="H29" s="35">
        <f t="shared" si="0"/>
        <v>144</v>
      </c>
      <c r="I29" s="35">
        <f t="shared" si="1"/>
        <v>104</v>
      </c>
      <c r="J29" s="36">
        <f t="shared" si="2"/>
        <v>1248</v>
      </c>
      <c r="L29" s="32"/>
      <c r="M29" s="32"/>
      <c r="N29" s="32"/>
      <c r="O29" s="32"/>
      <c r="P29" s="32"/>
      <c r="T29" s="37"/>
      <c r="U29" s="38"/>
      <c r="V29" s="38"/>
      <c r="W29" s="39"/>
    </row>
    <row r="30" spans="2:23" x14ac:dyDescent="0.3">
      <c r="B30" s="148"/>
      <c r="C30" s="27"/>
      <c r="D30" s="19" t="s">
        <v>11</v>
      </c>
      <c r="E30" s="33">
        <v>17</v>
      </c>
      <c r="F30" s="34"/>
      <c r="G30" s="33">
        <v>70</v>
      </c>
      <c r="H30" s="35">
        <f t="shared" si="0"/>
        <v>204</v>
      </c>
      <c r="I30" s="35">
        <f t="shared" si="1"/>
        <v>134</v>
      </c>
      <c r="J30" s="36">
        <f t="shared" si="2"/>
        <v>2278</v>
      </c>
      <c r="L30" s="32"/>
      <c r="M30" s="32"/>
      <c r="N30" s="32"/>
      <c r="O30" s="32"/>
      <c r="P30" s="32"/>
      <c r="T30" s="37"/>
      <c r="U30" s="38"/>
      <c r="V30" s="38"/>
      <c r="W30" s="39"/>
    </row>
    <row r="31" spans="2:23" x14ac:dyDescent="0.3">
      <c r="B31" s="148"/>
      <c r="C31" s="27"/>
      <c r="D31" s="40" t="s">
        <v>12</v>
      </c>
      <c r="E31" s="33">
        <v>22</v>
      </c>
      <c r="F31" s="34"/>
      <c r="G31" s="33">
        <v>100</v>
      </c>
      <c r="H31" s="35">
        <f t="shared" si="0"/>
        <v>264</v>
      </c>
      <c r="I31" s="35">
        <f t="shared" si="1"/>
        <v>164</v>
      </c>
      <c r="J31" s="36">
        <f t="shared" si="2"/>
        <v>3608</v>
      </c>
      <c r="L31" s="32"/>
      <c r="M31" s="32"/>
      <c r="N31" s="32"/>
      <c r="O31" s="32"/>
      <c r="P31" s="32"/>
      <c r="T31" s="37"/>
      <c r="U31" s="38"/>
      <c r="V31" s="38"/>
      <c r="W31" s="39"/>
    </row>
    <row r="32" spans="2:23" x14ac:dyDescent="0.3">
      <c r="B32" s="148"/>
      <c r="C32" s="27"/>
      <c r="D32" s="40" t="s">
        <v>13</v>
      </c>
      <c r="E32" s="33">
        <v>28</v>
      </c>
      <c r="F32" s="34"/>
      <c r="G32" s="33">
        <v>179</v>
      </c>
      <c r="H32" s="35">
        <f t="shared" si="0"/>
        <v>336</v>
      </c>
      <c r="I32" s="35">
        <f t="shared" si="1"/>
        <v>157</v>
      </c>
      <c r="J32" s="36">
        <f t="shared" si="2"/>
        <v>4396</v>
      </c>
      <c r="L32" s="32"/>
      <c r="M32" s="32"/>
      <c r="N32" s="32"/>
      <c r="O32" s="32"/>
      <c r="P32" s="32"/>
      <c r="T32" s="38"/>
      <c r="U32" s="38"/>
      <c r="V32" s="38"/>
      <c r="W32" s="39"/>
    </row>
    <row r="33" spans="1:23" ht="17.399999999999999" x14ac:dyDescent="0.45">
      <c r="B33" s="148"/>
      <c r="C33" s="27"/>
      <c r="D33" s="40" t="s">
        <v>14</v>
      </c>
      <c r="E33" s="100">
        <v>32</v>
      </c>
      <c r="F33" s="34"/>
      <c r="G33" s="33">
        <v>160</v>
      </c>
      <c r="H33" s="35">
        <f t="shared" si="0"/>
        <v>384</v>
      </c>
      <c r="I33" s="35">
        <f t="shared" si="1"/>
        <v>224</v>
      </c>
      <c r="J33" s="41">
        <f t="shared" si="2"/>
        <v>7168</v>
      </c>
      <c r="L33" s="32"/>
      <c r="M33" s="32"/>
      <c r="N33" s="32"/>
      <c r="O33" s="32"/>
      <c r="P33" s="32"/>
      <c r="T33" s="38"/>
      <c r="U33" s="38"/>
      <c r="V33" s="38"/>
      <c r="W33" s="42"/>
    </row>
    <row r="34" spans="1:23" x14ac:dyDescent="0.3">
      <c r="B34" s="148"/>
      <c r="C34" s="27"/>
      <c r="D34" s="22" t="s">
        <v>15</v>
      </c>
      <c r="E34" s="101">
        <f>SUM(E27:E33)</f>
        <v>128</v>
      </c>
      <c r="F34" s="22"/>
      <c r="G34" s="43"/>
      <c r="H34" s="44"/>
      <c r="I34" s="44"/>
      <c r="J34" s="102">
        <f>SUM(J27:J33)</f>
        <v>19697</v>
      </c>
      <c r="L34" s="32"/>
      <c r="M34" s="32"/>
      <c r="N34" s="32"/>
      <c r="O34" s="32"/>
      <c r="P34" s="32"/>
      <c r="T34" s="38"/>
      <c r="U34" s="38"/>
      <c r="V34" s="38"/>
      <c r="W34" s="39"/>
    </row>
    <row r="35" spans="1:23" x14ac:dyDescent="0.3">
      <c r="B35" s="148"/>
      <c r="C35" s="27"/>
      <c r="D35" s="19"/>
      <c r="E35" s="45"/>
      <c r="F35" s="19"/>
      <c r="G35" s="45"/>
      <c r="I35" s="46"/>
      <c r="J35" s="47"/>
      <c r="L35" s="32"/>
      <c r="M35" s="32"/>
      <c r="N35" s="32"/>
      <c r="O35" s="32"/>
      <c r="P35" s="32"/>
      <c r="T35" s="38"/>
      <c r="U35" s="38"/>
      <c r="V35" s="38"/>
      <c r="W35" s="39"/>
    </row>
    <row r="36" spans="1:23" x14ac:dyDescent="0.3">
      <c r="B36" s="148"/>
      <c r="C36" s="27"/>
      <c r="D36" s="22" t="s">
        <v>16</v>
      </c>
      <c r="E36" s="64">
        <f>ROUND(AVERAGE(E27:E33),0)</f>
        <v>18</v>
      </c>
      <c r="F36" s="48" t="s">
        <v>78</v>
      </c>
      <c r="G36" s="43"/>
      <c r="H36" s="43"/>
      <c r="I36" s="49" t="s">
        <v>66</v>
      </c>
      <c r="J36" s="50">
        <f>ROUND(J34/E34,0)</f>
        <v>154</v>
      </c>
      <c r="K36" s="51" t="s">
        <v>65</v>
      </c>
      <c r="L36" s="43"/>
      <c r="M36" s="32"/>
      <c r="N36" s="32"/>
      <c r="O36" s="32"/>
      <c r="P36" s="32"/>
      <c r="T36" s="52"/>
      <c r="U36" s="52"/>
      <c r="V36" s="52"/>
      <c r="W36" s="53"/>
    </row>
    <row r="37" spans="1:23" x14ac:dyDescent="0.3">
      <c r="B37" s="27"/>
      <c r="C37" s="27"/>
      <c r="D37" s="20"/>
      <c r="E37" s="19"/>
      <c r="F37" s="19"/>
      <c r="G37" s="54"/>
      <c r="I37" s="55"/>
      <c r="K37" s="9"/>
      <c r="Q37" s="21"/>
    </row>
    <row r="38" spans="1:23" x14ac:dyDescent="0.3">
      <c r="B38" s="27"/>
      <c r="C38" s="27"/>
      <c r="D38" s="56" t="s">
        <v>80</v>
      </c>
      <c r="E38" s="57">
        <f>SUM(E31:E33)</f>
        <v>82</v>
      </c>
      <c r="F38" s="58"/>
      <c r="G38" s="59"/>
      <c r="H38" s="60"/>
      <c r="I38" s="61"/>
      <c r="J38" s="57">
        <f>SUM(J31:J33)</f>
        <v>15172</v>
      </c>
      <c r="K38" s="9"/>
      <c r="Q38" s="21"/>
    </row>
    <row r="39" spans="1:23" ht="31.2" x14ac:dyDescent="0.3">
      <c r="B39" s="62"/>
      <c r="C39" s="62"/>
      <c r="D39" s="63" t="s">
        <v>17</v>
      </c>
      <c r="E39" s="64">
        <f>ROUND(AVERAGE(E31:E33),0)</f>
        <v>27</v>
      </c>
      <c r="F39" s="65" t="s">
        <v>79</v>
      </c>
      <c r="G39" s="45"/>
      <c r="I39" s="49" t="s">
        <v>66</v>
      </c>
      <c r="J39" s="50">
        <f>ROUND(J38/E38,0)</f>
        <v>185</v>
      </c>
      <c r="K39" s="66" t="s">
        <v>60</v>
      </c>
      <c r="Q39" s="21"/>
    </row>
    <row r="40" spans="1:23" x14ac:dyDescent="0.3">
      <c r="I40" s="30"/>
    </row>
    <row r="41" spans="1:23" x14ac:dyDescent="0.3">
      <c r="I41" s="30"/>
      <c r="J41" s="30"/>
    </row>
    <row r="42" spans="1:23" x14ac:dyDescent="0.3">
      <c r="A42" s="32"/>
      <c r="D42" s="22" t="s">
        <v>18</v>
      </c>
      <c r="E42" s="7">
        <v>12</v>
      </c>
      <c r="F42" s="67" t="s">
        <v>106</v>
      </c>
    </row>
    <row r="45" spans="1:23" x14ac:dyDescent="0.3">
      <c r="B45" s="5" t="s">
        <v>59</v>
      </c>
      <c r="C45" s="1"/>
      <c r="D45"/>
      <c r="E45"/>
      <c r="F45"/>
      <c r="G45"/>
      <c r="H45"/>
      <c r="I45"/>
      <c r="J45"/>
      <c r="K45" s="103"/>
      <c r="L45" s="2"/>
      <c r="M45"/>
      <c r="N45"/>
      <c r="O45"/>
    </row>
    <row r="46" spans="1:23" ht="15.6" customHeight="1" x14ac:dyDescent="0.3">
      <c r="B46" t="s">
        <v>85</v>
      </c>
      <c r="C46" s="1"/>
      <c r="D46"/>
      <c r="E46"/>
      <c r="F46"/>
      <c r="G46"/>
      <c r="H46"/>
      <c r="I46"/>
      <c r="J46"/>
      <c r="K46" s="103"/>
      <c r="L46" s="2"/>
      <c r="M46"/>
      <c r="N46"/>
      <c r="O46"/>
    </row>
    <row r="47" spans="1:23" x14ac:dyDescent="0.3">
      <c r="B47" t="s">
        <v>93</v>
      </c>
      <c r="C47"/>
      <c r="D47"/>
      <c r="E47"/>
      <c r="F47"/>
      <c r="G47"/>
      <c r="H47"/>
      <c r="I47"/>
      <c r="J47" s="3"/>
      <c r="K47" s="3"/>
      <c r="L47" s="3"/>
      <c r="M47" s="3"/>
      <c r="N47" s="3"/>
      <c r="O47" s="3"/>
    </row>
    <row r="48" spans="1:23" x14ac:dyDescent="0.3">
      <c r="B48" t="s">
        <v>92</v>
      </c>
      <c r="C48"/>
      <c r="D48"/>
      <c r="E48"/>
      <c r="F48"/>
      <c r="G48"/>
      <c r="H48"/>
      <c r="I48"/>
      <c r="J48"/>
      <c r="K48"/>
      <c r="L48"/>
      <c r="M48"/>
      <c r="N48"/>
      <c r="O48"/>
    </row>
    <row r="49" spans="1:24" x14ac:dyDescent="0.3">
      <c r="B49"/>
      <c r="C49"/>
      <c r="D49"/>
      <c r="E49"/>
      <c r="F49"/>
      <c r="G49"/>
      <c r="H49"/>
      <c r="I49"/>
      <c r="J49"/>
      <c r="K49"/>
      <c r="L49"/>
      <c r="M49"/>
      <c r="N49"/>
      <c r="O49"/>
    </row>
    <row r="50" spans="1:24" ht="48.6" x14ac:dyDescent="0.45">
      <c r="B50" s="149" t="s">
        <v>86</v>
      </c>
      <c r="C50"/>
      <c r="D50"/>
      <c r="E50"/>
      <c r="F50" s="4" t="s">
        <v>87</v>
      </c>
      <c r="G50"/>
      <c r="H50" s="4"/>
      <c r="I50"/>
      <c r="J50"/>
      <c r="K50"/>
      <c r="L50" s="2"/>
      <c r="M50"/>
      <c r="N50"/>
      <c r="O50"/>
    </row>
    <row r="51" spans="1:24" x14ac:dyDescent="0.3">
      <c r="B51" s="149"/>
      <c r="C51"/>
      <c r="D51"/>
      <c r="E51" s="1" t="s">
        <v>88</v>
      </c>
      <c r="F51" s="104">
        <v>6.2E-2</v>
      </c>
      <c r="G51"/>
      <c r="H51" s="104"/>
      <c r="I51"/>
      <c r="J51"/>
      <c r="K51"/>
      <c r="L51"/>
      <c r="M51"/>
      <c r="N51"/>
      <c r="O51"/>
    </row>
    <row r="52" spans="1:24" x14ac:dyDescent="0.3">
      <c r="B52" s="149"/>
      <c r="C52"/>
      <c r="D52"/>
      <c r="E52" s="1" t="s">
        <v>89</v>
      </c>
      <c r="F52" s="104">
        <v>1.4500000000000001E-2</v>
      </c>
      <c r="G52"/>
      <c r="H52" s="104"/>
      <c r="I52"/>
      <c r="J52"/>
      <c r="K52"/>
      <c r="L52"/>
      <c r="M52"/>
      <c r="N52"/>
      <c r="O52"/>
    </row>
    <row r="53" spans="1:24" x14ac:dyDescent="0.3">
      <c r="B53" s="149"/>
      <c r="C53"/>
      <c r="D53"/>
      <c r="E53" s="1" t="s">
        <v>90</v>
      </c>
      <c r="F53" s="105">
        <v>0.05</v>
      </c>
      <c r="G53"/>
      <c r="H53" s="105"/>
      <c r="I53"/>
      <c r="J53"/>
      <c r="K53"/>
      <c r="L53"/>
      <c r="M53"/>
      <c r="N53"/>
      <c r="O53"/>
    </row>
    <row r="54" spans="1:24" x14ac:dyDescent="0.3">
      <c r="B54" s="149"/>
      <c r="C54"/>
      <c r="D54"/>
      <c r="E54" s="6" t="s">
        <v>57</v>
      </c>
      <c r="F54" s="106">
        <f>SUM(F51:F53)</f>
        <v>0.1265</v>
      </c>
      <c r="G54" s="107" t="s">
        <v>91</v>
      </c>
      <c r="H54" s="108"/>
      <c r="I54" s="107"/>
      <c r="J54"/>
      <c r="K54"/>
      <c r="L54"/>
      <c r="M54"/>
      <c r="N54"/>
      <c r="O54"/>
    </row>
    <row r="55" spans="1:24" ht="16.2" thickBot="1" x14ac:dyDescent="0.35">
      <c r="A55" s="68"/>
      <c r="B55" s="69"/>
      <c r="C55" s="69"/>
      <c r="D55" s="70"/>
      <c r="E55" s="69"/>
      <c r="F55" s="69"/>
      <c r="G55" s="69"/>
      <c r="H55" s="69"/>
      <c r="I55" s="69"/>
      <c r="J55" s="69"/>
      <c r="K55" s="69"/>
      <c r="L55" s="69"/>
      <c r="M55" s="69"/>
    </row>
    <row r="59" spans="1:24" x14ac:dyDescent="0.3">
      <c r="B59" s="109" t="s">
        <v>94</v>
      </c>
      <c r="C59" s="109"/>
      <c r="D59" s="110"/>
      <c r="E59" s="110"/>
      <c r="F59" s="110"/>
      <c r="G59" s="110"/>
      <c r="H59" s="110"/>
      <c r="I59" s="110"/>
      <c r="J59" s="110"/>
      <c r="K59" s="110"/>
      <c r="L59" s="110"/>
      <c r="M59" s="110"/>
      <c r="N59" s="110"/>
      <c r="O59" s="110"/>
      <c r="P59" s="110"/>
      <c r="Q59" s="110"/>
      <c r="R59" s="110"/>
    </row>
    <row r="60" spans="1:24" x14ac:dyDescent="0.3">
      <c r="B60" s="71"/>
      <c r="C60" s="71"/>
    </row>
    <row r="61" spans="1:24" x14ac:dyDescent="0.3">
      <c r="D61" s="72"/>
      <c r="E61" s="73" t="s">
        <v>0</v>
      </c>
      <c r="F61" s="73" t="s">
        <v>1</v>
      </c>
      <c r="G61" s="73" t="s">
        <v>0</v>
      </c>
      <c r="H61" s="73" t="s">
        <v>1</v>
      </c>
      <c r="I61" s="73" t="s">
        <v>1</v>
      </c>
      <c r="J61" s="73"/>
      <c r="K61" s="73"/>
      <c r="L61" s="73" t="s">
        <v>1</v>
      </c>
      <c r="M61" s="73" t="s">
        <v>1</v>
      </c>
      <c r="N61" s="73" t="s">
        <v>1</v>
      </c>
      <c r="O61" s="73" t="s">
        <v>1</v>
      </c>
      <c r="P61" s="73" t="s">
        <v>1</v>
      </c>
      <c r="Q61" s="73" t="s">
        <v>0</v>
      </c>
      <c r="R61" s="73" t="s">
        <v>1</v>
      </c>
    </row>
    <row r="62" spans="1:24" ht="93.6" x14ac:dyDescent="0.3">
      <c r="D62" s="74" t="s">
        <v>19</v>
      </c>
      <c r="E62" s="75" t="s">
        <v>122</v>
      </c>
      <c r="F62" s="76" t="s">
        <v>121</v>
      </c>
      <c r="G62" s="75" t="s">
        <v>120</v>
      </c>
      <c r="H62" s="76" t="s">
        <v>101</v>
      </c>
      <c r="I62" s="76" t="s">
        <v>3</v>
      </c>
      <c r="J62" s="76" t="s">
        <v>133</v>
      </c>
      <c r="K62" s="76" t="s">
        <v>110</v>
      </c>
      <c r="L62" s="76" t="s">
        <v>123</v>
      </c>
      <c r="M62" s="76" t="s">
        <v>113</v>
      </c>
      <c r="N62" s="76" t="s">
        <v>22</v>
      </c>
      <c r="O62" s="76" t="s">
        <v>68</v>
      </c>
      <c r="P62" s="76" t="s">
        <v>67</v>
      </c>
      <c r="Q62" s="74" t="s">
        <v>124</v>
      </c>
      <c r="R62" s="76" t="s">
        <v>46</v>
      </c>
    </row>
    <row r="63" spans="1:24" x14ac:dyDescent="0.3">
      <c r="E63" s="30" t="s">
        <v>23</v>
      </c>
      <c r="F63" s="30" t="s">
        <v>107</v>
      </c>
      <c r="G63" s="30" t="s">
        <v>25</v>
      </c>
      <c r="H63" s="30" t="s">
        <v>26</v>
      </c>
      <c r="I63" s="30" t="s">
        <v>27</v>
      </c>
      <c r="J63" s="30" t="s">
        <v>111</v>
      </c>
      <c r="K63" s="30" t="s">
        <v>112</v>
      </c>
      <c r="L63" s="30" t="s">
        <v>53</v>
      </c>
      <c r="M63" s="30" t="s">
        <v>50</v>
      </c>
      <c r="N63" s="30" t="s">
        <v>52</v>
      </c>
      <c r="O63" s="30" t="s">
        <v>116</v>
      </c>
      <c r="P63" s="31" t="s">
        <v>55</v>
      </c>
      <c r="Q63" s="30" t="s">
        <v>24</v>
      </c>
      <c r="R63" s="30" t="s">
        <v>56</v>
      </c>
    </row>
    <row r="64" spans="1:24" x14ac:dyDescent="0.3">
      <c r="A64" s="77" t="s">
        <v>47</v>
      </c>
      <c r="D64" s="19" t="s">
        <v>28</v>
      </c>
      <c r="E64" s="78">
        <v>5</v>
      </c>
      <c r="F64" s="79">
        <f>E64*E$42</f>
        <v>60</v>
      </c>
      <c r="G64" s="80">
        <v>38</v>
      </c>
      <c r="H64" s="79">
        <f>F64-G64</f>
        <v>22</v>
      </c>
      <c r="I64" s="131">
        <f>ROUND(H64/E64,0)</f>
        <v>4</v>
      </c>
      <c r="J64" s="132">
        <f t="shared" ref="J64:J79" si="3">IF(E64&lt;E$36,J$36,J$39)</f>
        <v>154</v>
      </c>
      <c r="K64" s="132">
        <f>IF(E64&lt;E$36,E$36,E$39)</f>
        <v>18</v>
      </c>
      <c r="L64" s="81">
        <f>IF(E64&lt;K64,K64-E64,1)</f>
        <v>13</v>
      </c>
      <c r="M64" s="79">
        <f t="shared" ref="M64:M79" si="4">IF(J64-H64&gt;0,J64-H64,0)</f>
        <v>132</v>
      </c>
      <c r="N64" s="79">
        <f>IF(M64&gt;0,0,L64*I64)</f>
        <v>0</v>
      </c>
      <c r="O64" s="82">
        <f t="shared" ref="O64:O79" si="5">L64*E$42</f>
        <v>156</v>
      </c>
      <c r="P64" s="82">
        <f t="shared" ref="P64:P79" si="6">IF(M64&gt;O64,(M64-O64),0)</f>
        <v>0</v>
      </c>
      <c r="Q64" s="83">
        <v>223</v>
      </c>
      <c r="R64" s="84">
        <f t="shared" ref="R64:R79" si="7">ROUND(P64*Q64,0)</f>
        <v>0</v>
      </c>
      <c r="V64" s="85"/>
      <c r="W64" s="85"/>
      <c r="X64" s="86"/>
    </row>
    <row r="65" spans="1:24" x14ac:dyDescent="0.3">
      <c r="A65" s="77" t="s">
        <v>47</v>
      </c>
      <c r="D65" s="19" t="s">
        <v>29</v>
      </c>
      <c r="E65" s="78">
        <v>6</v>
      </c>
      <c r="F65" s="79">
        <f t="shared" ref="F65:F79" si="8">E65*E$42</f>
        <v>72</v>
      </c>
      <c r="G65" s="80">
        <v>40</v>
      </c>
      <c r="H65" s="79">
        <f t="shared" ref="H65:H79" si="9">F65-G65</f>
        <v>32</v>
      </c>
      <c r="I65" s="131">
        <f t="shared" ref="I65:I74" si="10">ROUND(H65/E65,0)</f>
        <v>5</v>
      </c>
      <c r="J65" s="132">
        <f t="shared" si="3"/>
        <v>154</v>
      </c>
      <c r="K65" s="132">
        <f t="shared" ref="K65:K79" si="11">IF(E65&lt;E$36,E$36,E$39)</f>
        <v>18</v>
      </c>
      <c r="L65" s="81">
        <f t="shared" ref="L65:L76" si="12">IF(E65&lt;K65,K65-E65,1)</f>
        <v>12</v>
      </c>
      <c r="M65" s="79">
        <f t="shared" si="4"/>
        <v>122</v>
      </c>
      <c r="N65" s="79">
        <f t="shared" ref="N65:N79" si="13">IF(M65&gt;0,0,L65*I65)</f>
        <v>0</v>
      </c>
      <c r="O65" s="82">
        <f t="shared" si="5"/>
        <v>144</v>
      </c>
      <c r="P65" s="82">
        <f t="shared" si="6"/>
        <v>0</v>
      </c>
      <c r="Q65" s="87">
        <v>238</v>
      </c>
      <c r="R65" s="84">
        <f t="shared" si="7"/>
        <v>0</v>
      </c>
      <c r="V65" s="85"/>
      <c r="W65" s="85"/>
      <c r="X65" s="86"/>
    </row>
    <row r="66" spans="1:24" x14ac:dyDescent="0.3">
      <c r="A66" s="77" t="s">
        <v>47</v>
      </c>
      <c r="D66" s="19" t="s">
        <v>30</v>
      </c>
      <c r="E66" s="78">
        <v>7</v>
      </c>
      <c r="F66" s="79">
        <f t="shared" si="8"/>
        <v>84</v>
      </c>
      <c r="G66" s="80">
        <v>30</v>
      </c>
      <c r="H66" s="79">
        <f t="shared" si="9"/>
        <v>54</v>
      </c>
      <c r="I66" s="131">
        <f t="shared" si="10"/>
        <v>8</v>
      </c>
      <c r="J66" s="132">
        <f t="shared" si="3"/>
        <v>154</v>
      </c>
      <c r="K66" s="132">
        <f t="shared" si="11"/>
        <v>18</v>
      </c>
      <c r="L66" s="81">
        <f t="shared" si="12"/>
        <v>11</v>
      </c>
      <c r="M66" s="79">
        <f t="shared" si="4"/>
        <v>100</v>
      </c>
      <c r="N66" s="79">
        <f t="shared" si="13"/>
        <v>0</v>
      </c>
      <c r="O66" s="82">
        <f t="shared" si="5"/>
        <v>132</v>
      </c>
      <c r="P66" s="82">
        <f t="shared" si="6"/>
        <v>0</v>
      </c>
      <c r="Q66" s="87">
        <v>461</v>
      </c>
      <c r="R66" s="84">
        <f t="shared" si="7"/>
        <v>0</v>
      </c>
      <c r="V66" s="85"/>
      <c r="W66" s="85"/>
      <c r="X66" s="86"/>
    </row>
    <row r="67" spans="1:24" x14ac:dyDescent="0.3">
      <c r="A67" s="77" t="s">
        <v>47</v>
      </c>
      <c r="D67" s="19" t="s">
        <v>31</v>
      </c>
      <c r="E67" s="78">
        <v>7</v>
      </c>
      <c r="F67" s="79">
        <f t="shared" si="8"/>
        <v>84</v>
      </c>
      <c r="G67" s="80">
        <v>28</v>
      </c>
      <c r="H67" s="79">
        <f t="shared" si="9"/>
        <v>56</v>
      </c>
      <c r="I67" s="131">
        <f t="shared" si="10"/>
        <v>8</v>
      </c>
      <c r="J67" s="132">
        <f t="shared" si="3"/>
        <v>154</v>
      </c>
      <c r="K67" s="132">
        <f t="shared" si="11"/>
        <v>18</v>
      </c>
      <c r="L67" s="81">
        <f t="shared" si="12"/>
        <v>11</v>
      </c>
      <c r="M67" s="79">
        <f t="shared" si="4"/>
        <v>98</v>
      </c>
      <c r="N67" s="79">
        <f t="shared" si="13"/>
        <v>0</v>
      </c>
      <c r="O67" s="82">
        <f t="shared" si="5"/>
        <v>132</v>
      </c>
      <c r="P67" s="82">
        <f t="shared" si="6"/>
        <v>0</v>
      </c>
      <c r="Q67" s="87">
        <v>346</v>
      </c>
      <c r="R67" s="84">
        <f t="shared" si="7"/>
        <v>0</v>
      </c>
      <c r="V67" s="85"/>
      <c r="W67" s="85"/>
      <c r="X67" s="86"/>
    </row>
    <row r="68" spans="1:24" x14ac:dyDescent="0.3">
      <c r="A68" s="77" t="s">
        <v>47</v>
      </c>
      <c r="D68" s="19" t="s">
        <v>32</v>
      </c>
      <c r="E68" s="78">
        <v>8</v>
      </c>
      <c r="F68" s="79">
        <f t="shared" si="8"/>
        <v>96</v>
      </c>
      <c r="G68" s="80">
        <v>50</v>
      </c>
      <c r="H68" s="79">
        <f t="shared" si="9"/>
        <v>46</v>
      </c>
      <c r="I68" s="131">
        <f t="shared" si="10"/>
        <v>6</v>
      </c>
      <c r="J68" s="132">
        <f t="shared" si="3"/>
        <v>154</v>
      </c>
      <c r="K68" s="132">
        <f t="shared" si="11"/>
        <v>18</v>
      </c>
      <c r="L68" s="81">
        <f t="shared" si="12"/>
        <v>10</v>
      </c>
      <c r="M68" s="79">
        <f t="shared" si="4"/>
        <v>108</v>
      </c>
      <c r="N68" s="79">
        <f t="shared" si="13"/>
        <v>0</v>
      </c>
      <c r="O68" s="82">
        <f t="shared" si="5"/>
        <v>120</v>
      </c>
      <c r="P68" s="82">
        <f t="shared" si="6"/>
        <v>0</v>
      </c>
      <c r="Q68" s="87">
        <v>384</v>
      </c>
      <c r="R68" s="84">
        <f t="shared" si="7"/>
        <v>0</v>
      </c>
      <c r="V68" s="85"/>
      <c r="W68" s="85"/>
      <c r="X68" s="86"/>
    </row>
    <row r="69" spans="1:24" x14ac:dyDescent="0.3">
      <c r="A69" s="77" t="s">
        <v>47</v>
      </c>
      <c r="D69" s="19" t="s">
        <v>33</v>
      </c>
      <c r="E69" s="78">
        <v>10</v>
      </c>
      <c r="F69" s="79">
        <f t="shared" si="8"/>
        <v>120</v>
      </c>
      <c r="G69" s="80">
        <v>48</v>
      </c>
      <c r="H69" s="79">
        <f t="shared" si="9"/>
        <v>72</v>
      </c>
      <c r="I69" s="131">
        <f t="shared" si="10"/>
        <v>7</v>
      </c>
      <c r="J69" s="132">
        <f t="shared" si="3"/>
        <v>154</v>
      </c>
      <c r="K69" s="132">
        <f t="shared" si="11"/>
        <v>18</v>
      </c>
      <c r="L69" s="81">
        <f>IF(E69&lt;K69,K69-E69,1)</f>
        <v>8</v>
      </c>
      <c r="M69" s="79">
        <f t="shared" si="4"/>
        <v>82</v>
      </c>
      <c r="N69" s="79">
        <f t="shared" si="13"/>
        <v>0</v>
      </c>
      <c r="O69" s="82">
        <f t="shared" si="5"/>
        <v>96</v>
      </c>
      <c r="P69" s="82">
        <f t="shared" si="6"/>
        <v>0</v>
      </c>
      <c r="Q69" s="87">
        <v>238</v>
      </c>
      <c r="R69" s="84">
        <f t="shared" si="7"/>
        <v>0</v>
      </c>
      <c r="V69" s="85"/>
      <c r="W69" s="85"/>
      <c r="X69" s="86"/>
    </row>
    <row r="70" spans="1:24" x14ac:dyDescent="0.3">
      <c r="A70" s="77" t="s">
        <v>47</v>
      </c>
      <c r="D70" s="19" t="s">
        <v>34</v>
      </c>
      <c r="E70" s="78">
        <v>12</v>
      </c>
      <c r="F70" s="79">
        <f t="shared" si="8"/>
        <v>144</v>
      </c>
      <c r="G70" s="80">
        <v>36</v>
      </c>
      <c r="H70" s="79">
        <f t="shared" si="9"/>
        <v>108</v>
      </c>
      <c r="I70" s="131">
        <f t="shared" si="10"/>
        <v>9</v>
      </c>
      <c r="J70" s="132">
        <f t="shared" si="3"/>
        <v>154</v>
      </c>
      <c r="K70" s="132">
        <f t="shared" si="11"/>
        <v>18</v>
      </c>
      <c r="L70" s="81">
        <f t="shared" si="12"/>
        <v>6</v>
      </c>
      <c r="M70" s="79">
        <f t="shared" si="4"/>
        <v>46</v>
      </c>
      <c r="N70" s="79">
        <f t="shared" si="13"/>
        <v>0</v>
      </c>
      <c r="O70" s="82">
        <f t="shared" si="5"/>
        <v>72</v>
      </c>
      <c r="P70" s="82">
        <f t="shared" si="6"/>
        <v>0</v>
      </c>
      <c r="Q70" s="87">
        <v>269</v>
      </c>
      <c r="R70" s="84">
        <f t="shared" si="7"/>
        <v>0</v>
      </c>
      <c r="V70" s="85"/>
      <c r="W70" s="85"/>
      <c r="X70" s="86"/>
    </row>
    <row r="71" spans="1:24" x14ac:dyDescent="0.3">
      <c r="A71" s="77" t="s">
        <v>47</v>
      </c>
      <c r="D71" s="19" t="s">
        <v>35</v>
      </c>
      <c r="E71" s="78">
        <v>12</v>
      </c>
      <c r="F71" s="79">
        <f t="shared" si="8"/>
        <v>144</v>
      </c>
      <c r="G71" s="80">
        <v>52</v>
      </c>
      <c r="H71" s="79">
        <f t="shared" si="9"/>
        <v>92</v>
      </c>
      <c r="I71" s="131">
        <f t="shared" si="10"/>
        <v>8</v>
      </c>
      <c r="J71" s="132">
        <f t="shared" si="3"/>
        <v>154</v>
      </c>
      <c r="K71" s="132">
        <f t="shared" si="11"/>
        <v>18</v>
      </c>
      <c r="L71" s="81">
        <f>IF(E71&lt;K71,K71-E71,1)</f>
        <v>6</v>
      </c>
      <c r="M71" s="79">
        <f t="shared" si="4"/>
        <v>62</v>
      </c>
      <c r="N71" s="79">
        <f t="shared" si="13"/>
        <v>0</v>
      </c>
      <c r="O71" s="82">
        <f t="shared" si="5"/>
        <v>72</v>
      </c>
      <c r="P71" s="82">
        <f t="shared" si="6"/>
        <v>0</v>
      </c>
      <c r="Q71" s="87">
        <v>169</v>
      </c>
      <c r="R71" s="84">
        <f t="shared" si="7"/>
        <v>0</v>
      </c>
      <c r="V71" s="85"/>
      <c r="W71" s="85"/>
      <c r="X71" s="86"/>
    </row>
    <row r="72" spans="1:24" x14ac:dyDescent="0.3">
      <c r="A72" s="77" t="s">
        <v>47</v>
      </c>
      <c r="D72" s="19" t="s">
        <v>36</v>
      </c>
      <c r="E72" s="80">
        <v>15</v>
      </c>
      <c r="F72" s="79">
        <f t="shared" si="8"/>
        <v>180</v>
      </c>
      <c r="G72" s="80">
        <v>42</v>
      </c>
      <c r="H72" s="79">
        <f t="shared" si="9"/>
        <v>138</v>
      </c>
      <c r="I72" s="131">
        <f t="shared" si="10"/>
        <v>9</v>
      </c>
      <c r="J72" s="132">
        <f t="shared" si="3"/>
        <v>154</v>
      </c>
      <c r="K72" s="132">
        <f t="shared" si="11"/>
        <v>18</v>
      </c>
      <c r="L72" s="81">
        <f t="shared" si="12"/>
        <v>3</v>
      </c>
      <c r="M72" s="79">
        <f t="shared" si="4"/>
        <v>16</v>
      </c>
      <c r="N72" s="79">
        <f t="shared" si="13"/>
        <v>0</v>
      </c>
      <c r="O72" s="82">
        <f t="shared" si="5"/>
        <v>36</v>
      </c>
      <c r="P72" s="82">
        <f t="shared" si="6"/>
        <v>0</v>
      </c>
      <c r="Q72" s="87">
        <v>338</v>
      </c>
      <c r="R72" s="84">
        <f t="shared" si="7"/>
        <v>0</v>
      </c>
      <c r="V72" s="85"/>
      <c r="W72" s="85"/>
      <c r="X72" s="86"/>
    </row>
    <row r="73" spans="1:24" x14ac:dyDescent="0.3">
      <c r="A73" s="77" t="s">
        <v>47</v>
      </c>
      <c r="D73" s="19" t="s">
        <v>37</v>
      </c>
      <c r="E73" s="78">
        <v>16</v>
      </c>
      <c r="F73" s="79">
        <f t="shared" si="8"/>
        <v>192</v>
      </c>
      <c r="G73" s="78">
        <v>110</v>
      </c>
      <c r="H73" s="79">
        <f t="shared" si="9"/>
        <v>82</v>
      </c>
      <c r="I73" s="131">
        <f t="shared" si="10"/>
        <v>5</v>
      </c>
      <c r="J73" s="132">
        <f t="shared" si="3"/>
        <v>154</v>
      </c>
      <c r="K73" s="132">
        <f t="shared" si="11"/>
        <v>18</v>
      </c>
      <c r="L73" s="81">
        <f t="shared" si="12"/>
        <v>2</v>
      </c>
      <c r="M73" s="79">
        <f t="shared" si="4"/>
        <v>72</v>
      </c>
      <c r="N73" s="79">
        <f t="shared" si="13"/>
        <v>0</v>
      </c>
      <c r="O73" s="82">
        <f t="shared" si="5"/>
        <v>24</v>
      </c>
      <c r="P73" s="82">
        <f>IF(M73&gt;O73,(M73-O73),0)</f>
        <v>48</v>
      </c>
      <c r="Q73" s="87">
        <v>319</v>
      </c>
      <c r="R73" s="84">
        <f t="shared" si="7"/>
        <v>15312</v>
      </c>
      <c r="V73" s="85"/>
      <c r="W73" s="85"/>
      <c r="X73" s="86"/>
    </row>
    <row r="74" spans="1:24" x14ac:dyDescent="0.3">
      <c r="A74" s="77" t="s">
        <v>47</v>
      </c>
      <c r="D74" s="19" t="s">
        <v>38</v>
      </c>
      <c r="E74" s="78">
        <v>16</v>
      </c>
      <c r="F74" s="79">
        <f t="shared" si="8"/>
        <v>192</v>
      </c>
      <c r="G74" s="80">
        <v>100</v>
      </c>
      <c r="H74" s="79">
        <f t="shared" si="9"/>
        <v>92</v>
      </c>
      <c r="I74" s="131">
        <f t="shared" si="10"/>
        <v>6</v>
      </c>
      <c r="J74" s="132">
        <f t="shared" si="3"/>
        <v>154</v>
      </c>
      <c r="K74" s="132">
        <f t="shared" si="11"/>
        <v>18</v>
      </c>
      <c r="L74" s="81">
        <f>IF(E74&lt;K74,K74-E74,1)</f>
        <v>2</v>
      </c>
      <c r="M74" s="79">
        <f t="shared" si="4"/>
        <v>62</v>
      </c>
      <c r="N74" s="79">
        <f t="shared" si="13"/>
        <v>0</v>
      </c>
      <c r="O74" s="82">
        <f t="shared" si="5"/>
        <v>24</v>
      </c>
      <c r="P74" s="82">
        <f t="shared" si="6"/>
        <v>38</v>
      </c>
      <c r="Q74" s="87">
        <v>288</v>
      </c>
      <c r="R74" s="84">
        <f t="shared" si="7"/>
        <v>10944</v>
      </c>
      <c r="V74" s="85"/>
      <c r="W74" s="85"/>
      <c r="X74" s="86"/>
    </row>
    <row r="75" spans="1:24" x14ac:dyDescent="0.3">
      <c r="A75" s="77" t="s">
        <v>47</v>
      </c>
      <c r="B75" s="88" t="s">
        <v>45</v>
      </c>
      <c r="C75" s="88"/>
      <c r="D75" s="89" t="s">
        <v>39</v>
      </c>
      <c r="E75" s="80">
        <v>18</v>
      </c>
      <c r="F75" s="79">
        <f t="shared" si="8"/>
        <v>216</v>
      </c>
      <c r="G75" s="80">
        <v>145</v>
      </c>
      <c r="H75" s="90">
        <f t="shared" si="9"/>
        <v>71</v>
      </c>
      <c r="I75" s="112">
        <f>ROUND(H75/E75,0)</f>
        <v>4</v>
      </c>
      <c r="J75" s="132">
        <f t="shared" si="3"/>
        <v>185</v>
      </c>
      <c r="K75" s="132">
        <f t="shared" si="11"/>
        <v>27</v>
      </c>
      <c r="L75" s="81">
        <f t="shared" si="12"/>
        <v>9</v>
      </c>
      <c r="M75" s="79">
        <f t="shared" si="4"/>
        <v>114</v>
      </c>
      <c r="N75" s="79">
        <f t="shared" si="13"/>
        <v>0</v>
      </c>
      <c r="O75" s="91">
        <f t="shared" si="5"/>
        <v>108</v>
      </c>
      <c r="P75" s="91">
        <f t="shared" si="6"/>
        <v>6</v>
      </c>
      <c r="Q75" s="80">
        <v>423</v>
      </c>
      <c r="R75" s="92">
        <f t="shared" si="7"/>
        <v>2538</v>
      </c>
      <c r="V75" s="85"/>
      <c r="W75" s="85"/>
      <c r="X75" s="86"/>
    </row>
    <row r="76" spans="1:24" x14ac:dyDescent="0.3">
      <c r="A76" s="77" t="s">
        <v>47</v>
      </c>
      <c r="B76" s="88" t="s">
        <v>45</v>
      </c>
      <c r="C76" s="88"/>
      <c r="D76" s="89" t="s">
        <v>40</v>
      </c>
      <c r="E76" s="80">
        <v>20</v>
      </c>
      <c r="F76" s="79">
        <f t="shared" si="8"/>
        <v>240</v>
      </c>
      <c r="G76" s="80">
        <v>120</v>
      </c>
      <c r="H76" s="90">
        <f t="shared" si="9"/>
        <v>120</v>
      </c>
      <c r="I76" s="112">
        <f t="shared" ref="I76:I79" si="14">ROUND(H76/E76,0)</f>
        <v>6</v>
      </c>
      <c r="J76" s="132">
        <f t="shared" si="3"/>
        <v>185</v>
      </c>
      <c r="K76" s="132">
        <f>IF(E76&lt;E$36,E$36,E$39)</f>
        <v>27</v>
      </c>
      <c r="L76" s="81">
        <f t="shared" si="12"/>
        <v>7</v>
      </c>
      <c r="M76" s="79">
        <f t="shared" si="4"/>
        <v>65</v>
      </c>
      <c r="N76" s="79">
        <f t="shared" si="13"/>
        <v>0</v>
      </c>
      <c r="O76" s="91">
        <f t="shared" si="5"/>
        <v>84</v>
      </c>
      <c r="P76" s="91">
        <f t="shared" si="6"/>
        <v>0</v>
      </c>
      <c r="Q76" s="80">
        <v>461</v>
      </c>
      <c r="R76" s="92">
        <f t="shared" si="7"/>
        <v>0</v>
      </c>
      <c r="V76" s="85"/>
      <c r="W76" s="85"/>
      <c r="X76" s="86"/>
    </row>
    <row r="77" spans="1:24" x14ac:dyDescent="0.3">
      <c r="A77" s="77" t="s">
        <v>47</v>
      </c>
      <c r="B77" s="88" t="s">
        <v>45</v>
      </c>
      <c r="C77" s="88"/>
      <c r="D77" s="89" t="s">
        <v>41</v>
      </c>
      <c r="E77" s="93">
        <v>24</v>
      </c>
      <c r="F77" s="79">
        <f t="shared" si="8"/>
        <v>288</v>
      </c>
      <c r="G77" s="80">
        <v>160</v>
      </c>
      <c r="H77" s="90">
        <f t="shared" si="9"/>
        <v>128</v>
      </c>
      <c r="I77" s="112">
        <f t="shared" si="14"/>
        <v>5</v>
      </c>
      <c r="J77" s="132">
        <f t="shared" si="3"/>
        <v>185</v>
      </c>
      <c r="K77" s="132">
        <f t="shared" si="11"/>
        <v>27</v>
      </c>
      <c r="L77" s="81">
        <f>IF(E77&lt;K77,K77-E77,1)</f>
        <v>3</v>
      </c>
      <c r="M77" s="79">
        <f t="shared" si="4"/>
        <v>57</v>
      </c>
      <c r="N77" s="79">
        <f t="shared" si="13"/>
        <v>0</v>
      </c>
      <c r="O77" s="91">
        <f t="shared" si="5"/>
        <v>36</v>
      </c>
      <c r="P77" s="91">
        <f t="shared" si="6"/>
        <v>21</v>
      </c>
      <c r="Q77" s="80">
        <v>365</v>
      </c>
      <c r="R77" s="92">
        <f t="shared" si="7"/>
        <v>7665</v>
      </c>
      <c r="V77" s="85"/>
      <c r="W77" s="85"/>
      <c r="X77" s="86"/>
    </row>
    <row r="78" spans="1:24" x14ac:dyDescent="0.3">
      <c r="A78" s="77" t="s">
        <v>47</v>
      </c>
      <c r="B78" s="88" t="s">
        <v>45</v>
      </c>
      <c r="C78" s="88"/>
      <c r="D78" s="89" t="s">
        <v>42</v>
      </c>
      <c r="E78" s="80">
        <v>29</v>
      </c>
      <c r="F78" s="79">
        <f t="shared" si="8"/>
        <v>348</v>
      </c>
      <c r="G78" s="80">
        <v>154</v>
      </c>
      <c r="H78" s="90">
        <f t="shared" si="9"/>
        <v>194</v>
      </c>
      <c r="I78" s="112">
        <f t="shared" si="14"/>
        <v>7</v>
      </c>
      <c r="J78" s="132">
        <f t="shared" si="3"/>
        <v>185</v>
      </c>
      <c r="K78" s="132">
        <f t="shared" si="11"/>
        <v>27</v>
      </c>
      <c r="L78" s="81">
        <f>IF(E78&lt;K78,K78-E78,1)</f>
        <v>1</v>
      </c>
      <c r="M78" s="79">
        <f t="shared" si="4"/>
        <v>0</v>
      </c>
      <c r="N78" s="79">
        <f t="shared" si="13"/>
        <v>7</v>
      </c>
      <c r="O78" s="91">
        <f t="shared" si="5"/>
        <v>12</v>
      </c>
      <c r="P78" s="91">
        <f t="shared" si="6"/>
        <v>0</v>
      </c>
      <c r="Q78" s="80">
        <v>403</v>
      </c>
      <c r="R78" s="92">
        <f t="shared" si="7"/>
        <v>0</v>
      </c>
      <c r="V78" s="85"/>
      <c r="W78" s="85"/>
      <c r="X78" s="86"/>
    </row>
    <row r="79" spans="1:24" x14ac:dyDescent="0.3">
      <c r="A79" s="77" t="s">
        <v>47</v>
      </c>
      <c r="B79" s="88" t="s">
        <v>45</v>
      </c>
      <c r="C79" s="88"/>
      <c r="D79" s="89" t="s">
        <v>43</v>
      </c>
      <c r="E79" s="93">
        <v>34</v>
      </c>
      <c r="F79" s="79">
        <f t="shared" si="8"/>
        <v>408</v>
      </c>
      <c r="G79" s="80">
        <v>200</v>
      </c>
      <c r="H79" s="90">
        <f t="shared" si="9"/>
        <v>208</v>
      </c>
      <c r="I79" s="112">
        <f t="shared" si="14"/>
        <v>6</v>
      </c>
      <c r="J79" s="132">
        <f t="shared" si="3"/>
        <v>185</v>
      </c>
      <c r="K79" s="132">
        <f t="shared" si="11"/>
        <v>27</v>
      </c>
      <c r="L79" s="81">
        <f>IF(E79&lt;K79,K79-E79,1)</f>
        <v>1</v>
      </c>
      <c r="M79" s="79">
        <f t="shared" si="4"/>
        <v>0</v>
      </c>
      <c r="N79" s="79">
        <f t="shared" si="13"/>
        <v>6</v>
      </c>
      <c r="O79" s="91">
        <f t="shared" si="5"/>
        <v>12</v>
      </c>
      <c r="P79" s="91">
        <f t="shared" si="6"/>
        <v>0</v>
      </c>
      <c r="Q79" s="80">
        <v>576</v>
      </c>
      <c r="R79" s="92">
        <f t="shared" si="7"/>
        <v>0</v>
      </c>
      <c r="V79" s="85"/>
      <c r="W79" s="85"/>
      <c r="X79" s="86"/>
    </row>
    <row r="80" spans="1:24" ht="16.2" thickBot="1" x14ac:dyDescent="0.35">
      <c r="E80" s="94"/>
      <c r="F80" s="94"/>
      <c r="G80" s="95"/>
      <c r="H80" s="94"/>
      <c r="I80" s="96"/>
      <c r="J80" s="96"/>
      <c r="K80" s="96"/>
      <c r="M80" s="96"/>
      <c r="N80" s="96"/>
      <c r="O80" s="96"/>
      <c r="P80" s="96"/>
      <c r="R80" s="136">
        <f>SUM(R64:R79)</f>
        <v>36459</v>
      </c>
    </row>
    <row r="81" spans="2:18" ht="16.2" thickTop="1" x14ac:dyDescent="0.3">
      <c r="R81" s="97">
        <f>F54</f>
        <v>0.1265</v>
      </c>
    </row>
    <row r="82" spans="2:18" ht="17.399999999999999" x14ac:dyDescent="0.45">
      <c r="I82" s="98"/>
      <c r="J82" s="98"/>
      <c r="K82" s="98"/>
      <c r="Q82" s="99" t="s">
        <v>99</v>
      </c>
      <c r="R82" s="137">
        <f>ROUND(R80*R81,0)</f>
        <v>4612</v>
      </c>
    </row>
    <row r="83" spans="2:18" ht="17.399999999999999" x14ac:dyDescent="0.45">
      <c r="Q83" s="99" t="s">
        <v>104</v>
      </c>
      <c r="R83" s="138">
        <f>R80+R82</f>
        <v>41071</v>
      </c>
    </row>
    <row r="85" spans="2:18" x14ac:dyDescent="0.3">
      <c r="B85" s="99" t="s">
        <v>111</v>
      </c>
      <c r="C85" s="147" t="s">
        <v>127</v>
      </c>
      <c r="D85" s="147"/>
      <c r="E85" s="147"/>
      <c r="F85" s="147"/>
      <c r="G85" s="147"/>
      <c r="H85" s="147"/>
      <c r="I85" s="147"/>
      <c r="J85" s="147"/>
      <c r="K85" s="147"/>
      <c r="L85" s="147"/>
      <c r="M85" s="147"/>
      <c r="N85" s="147"/>
      <c r="O85" s="147"/>
      <c r="P85" s="147"/>
      <c r="Q85" s="147"/>
      <c r="R85" s="147"/>
    </row>
    <row r="86" spans="2:18" x14ac:dyDescent="0.3">
      <c r="B86" s="99"/>
      <c r="C86" s="147"/>
      <c r="D86" s="147"/>
      <c r="E86" s="147"/>
      <c r="F86" s="147"/>
      <c r="G86" s="147"/>
      <c r="H86" s="147"/>
      <c r="I86" s="147"/>
      <c r="J86" s="147"/>
      <c r="K86" s="147"/>
      <c r="L86" s="147"/>
      <c r="M86" s="147"/>
      <c r="N86" s="147"/>
      <c r="O86" s="147"/>
      <c r="P86" s="147"/>
      <c r="Q86" s="147"/>
      <c r="R86" s="147"/>
    </row>
    <row r="87" spans="2:18" x14ac:dyDescent="0.3">
      <c r="B87" s="99"/>
    </row>
    <row r="88" spans="2:18" x14ac:dyDescent="0.3">
      <c r="B88" s="99" t="s">
        <v>112</v>
      </c>
      <c r="C88" s="147" t="s">
        <v>118</v>
      </c>
      <c r="D88" s="147"/>
      <c r="E88" s="147"/>
      <c r="F88" s="147"/>
      <c r="G88" s="147"/>
      <c r="H88" s="147"/>
      <c r="I88" s="147"/>
      <c r="J88" s="147"/>
      <c r="K88" s="147"/>
      <c r="L88" s="147"/>
      <c r="M88" s="147"/>
      <c r="N88" s="147"/>
      <c r="O88" s="147"/>
      <c r="P88" s="147"/>
      <c r="Q88" s="147"/>
      <c r="R88" s="147"/>
    </row>
    <row r="89" spans="2:18" x14ac:dyDescent="0.3">
      <c r="B89" s="99"/>
      <c r="C89" s="147"/>
      <c r="D89" s="147"/>
      <c r="E89" s="147"/>
      <c r="F89" s="147"/>
      <c r="G89" s="147"/>
      <c r="H89" s="147"/>
      <c r="I89" s="147"/>
      <c r="J89" s="147"/>
      <c r="K89" s="147"/>
      <c r="L89" s="147"/>
      <c r="M89" s="147"/>
      <c r="N89" s="147"/>
      <c r="O89" s="147"/>
      <c r="P89" s="147"/>
      <c r="Q89" s="147"/>
      <c r="R89" s="147"/>
    </row>
    <row r="90" spans="2:18" x14ac:dyDescent="0.3">
      <c r="B90" s="99"/>
      <c r="C90" s="111"/>
      <c r="D90" s="111"/>
      <c r="E90" s="111"/>
      <c r="F90" s="111"/>
      <c r="G90" s="111"/>
      <c r="H90" s="111"/>
      <c r="I90" s="111"/>
      <c r="J90" s="111"/>
      <c r="K90" s="111"/>
      <c r="L90" s="111"/>
      <c r="M90" s="111"/>
      <c r="N90" s="111"/>
      <c r="O90" s="111"/>
      <c r="P90" s="111"/>
      <c r="Q90" s="111"/>
      <c r="R90" s="111"/>
    </row>
    <row r="91" spans="2:18" x14ac:dyDescent="0.3">
      <c r="B91" s="99" t="s">
        <v>53</v>
      </c>
      <c r="C91" s="150" t="s">
        <v>114</v>
      </c>
      <c r="D91" s="150"/>
      <c r="E91" s="150"/>
      <c r="F91" s="150"/>
      <c r="G91" s="150"/>
      <c r="H91" s="150"/>
      <c r="I91" s="150"/>
      <c r="J91" s="150"/>
      <c r="K91" s="150"/>
      <c r="L91" s="150"/>
      <c r="M91" s="150"/>
      <c r="N91" s="150"/>
      <c r="O91" s="150"/>
      <c r="P91" s="150"/>
      <c r="Q91" s="150"/>
      <c r="R91" s="150"/>
    </row>
    <row r="92" spans="2:18" x14ac:dyDescent="0.3">
      <c r="C92" s="150"/>
      <c r="D92" s="150"/>
      <c r="E92" s="150"/>
      <c r="F92" s="150"/>
      <c r="G92" s="150"/>
      <c r="H92" s="150"/>
      <c r="I92" s="150"/>
      <c r="J92" s="150"/>
      <c r="K92" s="150"/>
      <c r="L92" s="150"/>
      <c r="M92" s="150"/>
      <c r="N92" s="150"/>
      <c r="O92" s="150"/>
      <c r="P92" s="150"/>
      <c r="Q92" s="150"/>
      <c r="R92" s="150"/>
    </row>
    <row r="93" spans="2:18" x14ac:dyDescent="0.3">
      <c r="C93" s="111"/>
      <c r="D93" s="111"/>
      <c r="E93" s="111"/>
      <c r="F93" s="111"/>
      <c r="G93" s="111"/>
      <c r="H93" s="111"/>
      <c r="I93" s="111"/>
      <c r="J93" s="111"/>
      <c r="K93" s="111"/>
      <c r="L93" s="111"/>
      <c r="M93" s="111"/>
      <c r="N93" s="111"/>
      <c r="O93" s="111"/>
      <c r="P93" s="111"/>
      <c r="Q93" s="111"/>
      <c r="R93" s="111"/>
    </row>
    <row r="94" spans="2:18" x14ac:dyDescent="0.3">
      <c r="B94" s="99" t="s">
        <v>50</v>
      </c>
      <c r="C94" s="147" t="s">
        <v>115</v>
      </c>
      <c r="D94" s="147"/>
      <c r="E94" s="147"/>
      <c r="F94" s="147"/>
      <c r="G94" s="147"/>
      <c r="H94" s="147"/>
      <c r="I94" s="147"/>
      <c r="J94" s="147"/>
      <c r="K94" s="147"/>
      <c r="L94" s="147"/>
      <c r="M94" s="147"/>
      <c r="N94" s="147"/>
      <c r="O94" s="147"/>
      <c r="P94" s="147"/>
      <c r="Q94" s="147"/>
      <c r="R94" s="147"/>
    </row>
    <row r="95" spans="2:18" x14ac:dyDescent="0.3">
      <c r="C95" s="147"/>
      <c r="D95" s="147"/>
      <c r="E95" s="147"/>
      <c r="F95" s="147"/>
      <c r="G95" s="147"/>
      <c r="H95" s="147"/>
      <c r="I95" s="147"/>
      <c r="J95" s="147"/>
      <c r="K95" s="147"/>
      <c r="L95" s="147"/>
      <c r="M95" s="147"/>
      <c r="N95" s="147"/>
      <c r="O95" s="147"/>
      <c r="P95" s="147"/>
      <c r="Q95" s="147"/>
      <c r="R95" s="147"/>
    </row>
    <row r="97" spans="2:18" x14ac:dyDescent="0.3">
      <c r="B97" s="99" t="s">
        <v>52</v>
      </c>
      <c r="C97" s="71" t="s">
        <v>134</v>
      </c>
    </row>
    <row r="99" spans="2:18" ht="33.6" customHeight="1" x14ac:dyDescent="0.3">
      <c r="B99" s="144" t="s">
        <v>55</v>
      </c>
      <c r="C99" s="147" t="s">
        <v>117</v>
      </c>
      <c r="D99" s="147"/>
      <c r="E99" s="147"/>
      <c r="F99" s="147"/>
      <c r="G99" s="147"/>
      <c r="H99" s="147"/>
      <c r="I99" s="147"/>
      <c r="J99" s="147"/>
      <c r="K99" s="147"/>
      <c r="L99" s="147"/>
      <c r="M99" s="147"/>
      <c r="N99" s="147"/>
      <c r="O99" s="147"/>
      <c r="P99" s="147"/>
      <c r="Q99" s="147"/>
      <c r="R99" s="147"/>
    </row>
    <row r="101" spans="2:18" ht="15.6" customHeight="1" x14ac:dyDescent="0.3"/>
  </sheetData>
  <mergeCells count="12">
    <mergeCell ref="C94:R95"/>
    <mergeCell ref="B17:N17"/>
    <mergeCell ref="B21:N21"/>
    <mergeCell ref="B25:B36"/>
    <mergeCell ref="C99:R99"/>
    <mergeCell ref="B4:Q4"/>
    <mergeCell ref="B6:Q6"/>
    <mergeCell ref="B12:Q12"/>
    <mergeCell ref="B50:B54"/>
    <mergeCell ref="C91:R92"/>
    <mergeCell ref="C88:R89"/>
    <mergeCell ref="C85:R8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3F9001ED18E174FAF2D7CF8BA97E216" ma:contentTypeVersion="10" ma:contentTypeDescription="Create a new document." ma:contentTypeScope="" ma:versionID="c890a8f5f51916e18aa495dd74ead1fc">
  <xsd:schema xmlns:xsd="http://www.w3.org/2001/XMLSchema" xmlns:xs="http://www.w3.org/2001/XMLSchema" xmlns:p="http://schemas.microsoft.com/office/2006/metadata/properties" xmlns:ns2="c39cae96-638f-4fd1-afb3-9066b14dfa68" xmlns:ns3="4499e524-5725-44a8-bf8e-560b58fbc165" targetNamespace="http://schemas.microsoft.com/office/2006/metadata/properties" ma:root="true" ma:fieldsID="f90521df92eeae9b05614e344f771911" ns2:_="" ns3:_="">
    <xsd:import namespace="c39cae96-638f-4fd1-afb3-9066b14dfa68"/>
    <xsd:import namespace="4499e524-5725-44a8-bf8e-560b58fbc16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9cae96-638f-4fd1-afb3-9066b14dfa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99e524-5725-44a8-bf8e-560b58fbc16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78D564-F613-48F5-8AFE-02FB692FFAB5}">
  <ds:schemaRefs>
    <ds:schemaRef ds:uri="http://purl.org/dc/terms/"/>
    <ds:schemaRef ds:uri="4499e524-5725-44a8-bf8e-560b58fbc165"/>
    <ds:schemaRef ds:uri="http://purl.org/dc/dcmitype/"/>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c39cae96-638f-4fd1-afb3-9066b14dfa68"/>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8C72505E-16D1-4C0A-A3B3-B3B865A1FDA9}">
  <ds:schemaRefs>
    <ds:schemaRef ds:uri="http://schemas.microsoft.com/sharepoint/v3/contenttype/forms"/>
  </ds:schemaRefs>
</ds:datastoreItem>
</file>

<file path=customXml/itemProps3.xml><?xml version="1.0" encoding="utf-8"?>
<ds:datastoreItem xmlns:ds="http://schemas.openxmlformats.org/officeDocument/2006/customXml" ds:itemID="{DC526A80-E014-48C7-A623-1FB6138328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9cae96-638f-4fd1-afb3-9066b14dfa68"/>
    <ds:schemaRef ds:uri="4499e524-5725-44a8-bf8e-560b58fbc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FIFO</vt:lpstr>
      <vt:lpstr>LIFO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Susannah Filipovic</cp:lastModifiedBy>
  <cp:revision/>
  <dcterms:created xsi:type="dcterms:W3CDTF">2025-02-06T21:54:34Z</dcterms:created>
  <dcterms:modified xsi:type="dcterms:W3CDTF">2025-04-09T16:36:54Z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0x010100C3F9001ED18E174FAF2D7CF8BA97E216</vt:lpwstr>
  </property>
</Properties>
</file>