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foaorg-my.sharepoint.com/personal/mlevine_gfoa_org/Documents/Documents/Classes/Grants and Single Audit Class Dev/"/>
    </mc:Choice>
  </mc:AlternateContent>
  <xr:revisionPtr revIDLastSave="0" documentId="8_{513533C7-FF04-4940-BBAB-26FF9D571B10}" xr6:coauthVersionLast="47" xr6:coauthVersionMax="47" xr10:uidLastSave="{00000000-0000-0000-0000-000000000000}"/>
  <bookViews>
    <workbookView xWindow="-98" yWindow="-98" windowWidth="20715" windowHeight="13276" xr2:uid="{00000000-000D-0000-FFFF-FFFF00000000}"/>
  </bookViews>
  <sheets>
    <sheet name="Backgrouond &amp; Assumptions" sheetId="7" r:id="rId1"/>
    <sheet name="Cost Allocation - Round 1" sheetId="6" r:id="rId2"/>
    <sheet name="Cost Allocation - Round 2" sheetId="3" r:id="rId3"/>
    <sheet name="Fringe Benefit Rates" sheetId="4" r:id="rId4"/>
    <sheet name="Indirect Cost" sheetId="1" r:id="rId5"/>
    <sheet name="Claim Calc" sheetId="5" r:id="rId6"/>
    <sheet name="Why 2 rounds are needed" sheetId="8" r:id="rId7"/>
  </sheets>
  <definedNames>
    <definedName name="_xlnm.Print_Area" localSheetId="5">'Claim Calc'!$A$4:$K$15</definedName>
    <definedName name="_xlnm.Print_Area" localSheetId="1">'Cost Allocation - Round 1'!$E$7:$W$20</definedName>
    <definedName name="_xlnm.Print_Area" localSheetId="2">'Cost Allocation - Round 2'!$A$6:$M$47</definedName>
    <definedName name="_xlnm.Print_Area" localSheetId="3">'Fringe Benefit Rates'!$A$4:$G$17</definedName>
    <definedName name="_xlnm.Print_Area" localSheetId="4">'Indirect Cost'!$A$3:$D$15</definedName>
    <definedName name="_xlnm.Print_Area" localSheetId="6">'Why 2 rounds are needed'!$A$6:$K$30</definedName>
    <definedName name="_xlnm.Print_Titles" localSheetId="1">'Cost Allocation - Round 1'!$A:$C,'Cost Allocation - Round 1'!$4:$6</definedName>
    <definedName name="_xlnm.Print_Titles" localSheetId="2">'Cost Allocation - Round 2'!$A:$C,'Cost Allocation - Round 2'!$4:$5</definedName>
    <definedName name="_xlnm.Print_Titles" localSheetId="6">'Why 2 rounds are needed'!$A:$C,'Why 2 rounds are needed'!$3:$5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5" l="1"/>
  <c r="AA26" i="3" l="1"/>
  <c r="AA22" i="3"/>
  <c r="K13" i="6"/>
  <c r="U7" i="6" l="1"/>
  <c r="U10" i="6"/>
  <c r="U13" i="6"/>
  <c r="U16" i="6"/>
  <c r="U19" i="6"/>
  <c r="C7" i="6" l="1"/>
  <c r="C8" i="6"/>
  <c r="C10" i="6"/>
  <c r="C11" i="6"/>
  <c r="C13" i="6"/>
  <c r="C14" i="6"/>
  <c r="C16" i="6"/>
  <c r="C17" i="6"/>
  <c r="C19" i="6"/>
  <c r="C20" i="6"/>
  <c r="F33" i="8" l="1"/>
  <c r="H33" i="8"/>
  <c r="J33" i="8"/>
  <c r="K19" i="8"/>
  <c r="J19" i="8"/>
  <c r="I19" i="8"/>
  <c r="H19" i="8"/>
  <c r="G19" i="8"/>
  <c r="K16" i="8"/>
  <c r="J16" i="8"/>
  <c r="I16" i="8"/>
  <c r="H16" i="8"/>
  <c r="G16" i="8"/>
  <c r="K13" i="8"/>
  <c r="J13" i="8"/>
  <c r="I13" i="8"/>
  <c r="H13" i="8"/>
  <c r="G13" i="8"/>
  <c r="K10" i="8"/>
  <c r="J10" i="8"/>
  <c r="I10" i="8"/>
  <c r="H10" i="8"/>
  <c r="G10" i="8"/>
  <c r="H8" i="8"/>
  <c r="K7" i="8"/>
  <c r="J7" i="8"/>
  <c r="I7" i="8"/>
  <c r="H7" i="8"/>
  <c r="G7" i="8"/>
  <c r="A28" i="3"/>
  <c r="A37" i="3" s="1"/>
  <c r="C28" i="3"/>
  <c r="C37" i="3" s="1"/>
  <c r="D28" i="3"/>
  <c r="A29" i="3"/>
  <c r="A38" i="3" s="1"/>
  <c r="C29" i="3"/>
  <c r="C38" i="3" s="1"/>
  <c r="D29" i="3"/>
  <c r="A30" i="3"/>
  <c r="A39" i="3" s="1"/>
  <c r="C30" i="3"/>
  <c r="C39" i="3" s="1"/>
  <c r="D30" i="3"/>
  <c r="A31" i="3"/>
  <c r="A40" i="3" s="1"/>
  <c r="C31" i="3"/>
  <c r="C40" i="3" s="1"/>
  <c r="D31" i="3"/>
  <c r="A32" i="3"/>
  <c r="C32" i="3"/>
  <c r="D32" i="3"/>
  <c r="A33" i="3"/>
  <c r="A42" i="3" s="1"/>
  <c r="C33" i="3"/>
  <c r="C42" i="3" s="1"/>
  <c r="D33" i="3"/>
  <c r="A41" i="3"/>
  <c r="W15" i="3"/>
  <c r="K15" i="3"/>
  <c r="W11" i="3"/>
  <c r="W7" i="3"/>
  <c r="C23" i="3"/>
  <c r="C15" i="3"/>
  <c r="C11" i="3"/>
  <c r="C7" i="3"/>
  <c r="C41" i="3"/>
  <c r="E13" i="8" l="1"/>
  <c r="G14" i="8" s="1"/>
  <c r="E16" i="8"/>
  <c r="G17" i="8" s="1"/>
  <c r="E10" i="8"/>
  <c r="K11" i="8" s="1"/>
  <c r="E7" i="8"/>
  <c r="G8" i="8" s="1"/>
  <c r="E19" i="8"/>
  <c r="I20" i="8" s="1"/>
  <c r="E14" i="5"/>
  <c r="E6" i="5"/>
  <c r="E7" i="5"/>
  <c r="E81" i="7"/>
  <c r="C14" i="1"/>
  <c r="C7" i="1"/>
  <c r="C8" i="1"/>
  <c r="C9" i="1"/>
  <c r="C10" i="1"/>
  <c r="C11" i="1"/>
  <c r="C13" i="4"/>
  <c r="C15" i="4"/>
  <c r="C6" i="4"/>
  <c r="C7" i="4"/>
  <c r="E62" i="7"/>
  <c r="E68" i="7" s="1"/>
  <c r="C14" i="4" s="1"/>
  <c r="W19" i="6"/>
  <c r="Y23" i="3" s="1"/>
  <c r="W23" i="3"/>
  <c r="S19" i="6"/>
  <c r="U23" i="3" s="1"/>
  <c r="Q19" i="6"/>
  <c r="S23" i="3" s="1"/>
  <c r="O19" i="6"/>
  <c r="Q23" i="3" s="1"/>
  <c r="M19" i="6"/>
  <c r="O23" i="3" s="1"/>
  <c r="K19" i="6"/>
  <c r="K23" i="3" s="1"/>
  <c r="I19" i="6"/>
  <c r="I23" i="3" s="1"/>
  <c r="G19" i="6"/>
  <c r="G23" i="3" s="1"/>
  <c r="W16" i="6"/>
  <c r="W19" i="3"/>
  <c r="S16" i="6"/>
  <c r="U19" i="3" s="1"/>
  <c r="Q16" i="6"/>
  <c r="S19" i="3" s="1"/>
  <c r="O16" i="6"/>
  <c r="Q19" i="3" s="1"/>
  <c r="M16" i="6"/>
  <c r="O19" i="3" s="1"/>
  <c r="K16" i="6"/>
  <c r="K19" i="3" s="1"/>
  <c r="I16" i="6"/>
  <c r="I19" i="3" s="1"/>
  <c r="G16" i="6"/>
  <c r="W13" i="6"/>
  <c r="Y15" i="3" s="1"/>
  <c r="Q13" i="6"/>
  <c r="S15" i="3" s="1"/>
  <c r="O13" i="6"/>
  <c r="Q15" i="3" s="1"/>
  <c r="M13" i="6"/>
  <c r="O15" i="3" s="1"/>
  <c r="I13" i="6"/>
  <c r="I15" i="3" s="1"/>
  <c r="G13" i="6"/>
  <c r="G15" i="3" s="1"/>
  <c r="W10" i="6"/>
  <c r="Y11" i="3" s="1"/>
  <c r="S10" i="6"/>
  <c r="U11" i="3" s="1"/>
  <c r="Q10" i="6"/>
  <c r="S11" i="3" s="1"/>
  <c r="O10" i="6"/>
  <c r="Q11" i="3" s="1"/>
  <c r="M10" i="6"/>
  <c r="O11" i="3" s="1"/>
  <c r="K10" i="6"/>
  <c r="K11" i="3" s="1"/>
  <c r="I10" i="6"/>
  <c r="I11" i="3" s="1"/>
  <c r="G10" i="6"/>
  <c r="G11" i="3" s="1"/>
  <c r="G7" i="6"/>
  <c r="G7" i="3" s="1"/>
  <c r="I7" i="6"/>
  <c r="I7" i="3" s="1"/>
  <c r="K7" i="6"/>
  <c r="K7" i="3" s="1"/>
  <c r="M7" i="6"/>
  <c r="O7" i="3" s="1"/>
  <c r="O7" i="6"/>
  <c r="Q7" i="3" s="1"/>
  <c r="Q7" i="6"/>
  <c r="S7" i="3" s="1"/>
  <c r="S7" i="6"/>
  <c r="U7" i="3" s="1"/>
  <c r="W7" i="6"/>
  <c r="Y7" i="3" s="1"/>
  <c r="E41" i="7"/>
  <c r="P42" i="7" s="1"/>
  <c r="E44" i="7"/>
  <c r="Q45" i="7" s="1"/>
  <c r="Q11" i="6" s="1"/>
  <c r="S12" i="3" s="1"/>
  <c r="E50" i="7"/>
  <c r="W51" i="7" s="1"/>
  <c r="W17" i="6" s="1"/>
  <c r="Y20" i="3" s="1"/>
  <c r="E53" i="7"/>
  <c r="W54" i="7" s="1"/>
  <c r="W20" i="6" s="1"/>
  <c r="S47" i="7"/>
  <c r="S13" i="6" s="1"/>
  <c r="U15" i="3" s="1"/>
  <c r="E7" i="3" l="1"/>
  <c r="AA7" i="3" s="1"/>
  <c r="E11" i="3"/>
  <c r="AA11" i="3" s="1"/>
  <c r="E15" i="3"/>
  <c r="AA15" i="3" s="1"/>
  <c r="G19" i="3"/>
  <c r="E16" i="6"/>
  <c r="I11" i="8"/>
  <c r="I14" i="8"/>
  <c r="G11" i="8"/>
  <c r="K20" i="8"/>
  <c r="G20" i="8"/>
  <c r="K17" i="8"/>
  <c r="K14" i="8"/>
  <c r="I8" i="8"/>
  <c r="K8" i="8"/>
  <c r="I17" i="8"/>
  <c r="M51" i="7"/>
  <c r="M17" i="6" s="1"/>
  <c r="O20" i="3" s="1"/>
  <c r="H54" i="7"/>
  <c r="H20" i="8" s="1"/>
  <c r="O54" i="7"/>
  <c r="O20" i="6" s="1"/>
  <c r="Q24" i="3" s="1"/>
  <c r="E64" i="7"/>
  <c r="C10" i="4" s="1"/>
  <c r="E65" i="7"/>
  <c r="C11" i="4" s="1"/>
  <c r="P54" i="7"/>
  <c r="H51" i="7"/>
  <c r="H17" i="8" s="1"/>
  <c r="Q42" i="7"/>
  <c r="Q8" i="6" s="1"/>
  <c r="S8" i="3" s="1"/>
  <c r="I51" i="7"/>
  <c r="I17" i="6" s="1"/>
  <c r="I20" i="3" s="1"/>
  <c r="G54" i="7"/>
  <c r="G20" i="6" s="1"/>
  <c r="G24" i="3" s="1"/>
  <c r="P51" i="7"/>
  <c r="E66" i="7"/>
  <c r="C12" i="4" s="1"/>
  <c r="Q51" i="7"/>
  <c r="Q17" i="6" s="1"/>
  <c r="S20" i="3" s="1"/>
  <c r="C8" i="4"/>
  <c r="Y19" i="3"/>
  <c r="E19" i="3" s="1"/>
  <c r="AA19" i="3" s="1"/>
  <c r="E23" i="3"/>
  <c r="AA23" i="3" s="1"/>
  <c r="J42" i="7"/>
  <c r="J8" i="8" s="1"/>
  <c r="T42" i="7"/>
  <c r="Y24" i="3"/>
  <c r="R45" i="7"/>
  <c r="M17" i="3"/>
  <c r="G17" i="3" s="1"/>
  <c r="I42" i="7"/>
  <c r="S42" i="7"/>
  <c r="S8" i="6" s="1"/>
  <c r="U8" i="3" s="1"/>
  <c r="U42" i="7"/>
  <c r="U8" i="6" s="1"/>
  <c r="W8" i="3" s="1"/>
  <c r="L42" i="7"/>
  <c r="V42" i="7"/>
  <c r="M45" i="7"/>
  <c r="M11" i="6" s="1"/>
  <c r="O12" i="3" s="1"/>
  <c r="K42" i="7"/>
  <c r="I45" i="7"/>
  <c r="I11" i="6" s="1"/>
  <c r="I12" i="3" s="1"/>
  <c r="M42" i="7"/>
  <c r="M8" i="6" s="1"/>
  <c r="O8" i="3" s="1"/>
  <c r="H45" i="7"/>
  <c r="H11" i="8" s="1"/>
  <c r="N42" i="7"/>
  <c r="J45" i="7"/>
  <c r="J11" i="8" s="1"/>
  <c r="U51" i="7"/>
  <c r="R42" i="7"/>
  <c r="S45" i="7"/>
  <c r="S11" i="6" s="1"/>
  <c r="U12" i="3" s="1"/>
  <c r="M9" i="3"/>
  <c r="G9" i="3" s="1"/>
  <c r="M13" i="3"/>
  <c r="K13" i="3" s="1"/>
  <c r="K45" i="7"/>
  <c r="K11" i="6" s="1"/>
  <c r="K12" i="3" s="1"/>
  <c r="T45" i="7"/>
  <c r="J51" i="7"/>
  <c r="J17" i="8" s="1"/>
  <c r="R51" i="7"/>
  <c r="I54" i="7"/>
  <c r="I20" i="6" s="1"/>
  <c r="I24" i="3" s="1"/>
  <c r="R54" i="7"/>
  <c r="Q54" i="7"/>
  <c r="Q20" i="6" s="1"/>
  <c r="S24" i="3" s="1"/>
  <c r="L45" i="7"/>
  <c r="U45" i="7"/>
  <c r="U11" i="6" s="1"/>
  <c r="W12" i="3" s="1"/>
  <c r="K51" i="7"/>
  <c r="K17" i="6" s="1"/>
  <c r="K20" i="3" s="1"/>
  <c r="S51" i="7"/>
  <c r="S17" i="6" s="1"/>
  <c r="U20" i="3" s="1"/>
  <c r="J54" i="7"/>
  <c r="J20" i="8" s="1"/>
  <c r="S54" i="7"/>
  <c r="S20" i="6" s="1"/>
  <c r="U24" i="3" s="1"/>
  <c r="N45" i="7"/>
  <c r="V45" i="7"/>
  <c r="L51" i="7"/>
  <c r="T51" i="7"/>
  <c r="K54" i="7"/>
  <c r="K20" i="6" s="1"/>
  <c r="K24" i="3" s="1"/>
  <c r="T54" i="7"/>
  <c r="O45" i="7"/>
  <c r="O11" i="6" s="1"/>
  <c r="Q12" i="3" s="1"/>
  <c r="L54" i="7"/>
  <c r="O42" i="7"/>
  <c r="O8" i="6" s="1"/>
  <c r="Q8" i="3" s="1"/>
  <c r="W42" i="7"/>
  <c r="W8" i="6" s="1"/>
  <c r="Y8" i="3" s="1"/>
  <c r="P45" i="7"/>
  <c r="N51" i="7"/>
  <c r="V51" i="7"/>
  <c r="M54" i="7"/>
  <c r="M20" i="6" s="1"/>
  <c r="O24" i="3" s="1"/>
  <c r="V54" i="7"/>
  <c r="W45" i="7"/>
  <c r="W11" i="6" s="1"/>
  <c r="Y12" i="3" s="1"/>
  <c r="U54" i="7"/>
  <c r="G42" i="7"/>
  <c r="G45" i="7"/>
  <c r="G11" i="6" s="1"/>
  <c r="G12" i="3" s="1"/>
  <c r="G51" i="7"/>
  <c r="O51" i="7"/>
  <c r="O17" i="6" s="1"/>
  <c r="Q20" i="3" s="1"/>
  <c r="N54" i="7"/>
  <c r="E47" i="7"/>
  <c r="E28" i="6"/>
  <c r="E26" i="6"/>
  <c r="E25" i="6"/>
  <c r="E24" i="6"/>
  <c r="E19" i="6"/>
  <c r="E29" i="6"/>
  <c r="E27" i="6"/>
  <c r="E10" i="6"/>
  <c r="E7" i="6"/>
  <c r="M25" i="3"/>
  <c r="G25" i="3" s="1"/>
  <c r="M21" i="3"/>
  <c r="K21" i="3" s="1"/>
  <c r="U20" i="6" l="1"/>
  <c r="W24" i="3" s="1"/>
  <c r="E24" i="3" s="1"/>
  <c r="AA24" i="3" s="1"/>
  <c r="U28" i="6"/>
  <c r="W32" i="3" s="1"/>
  <c r="U17" i="6"/>
  <c r="W20" i="3" s="1"/>
  <c r="E27" i="8"/>
  <c r="G27" i="8" s="1"/>
  <c r="E31" i="3"/>
  <c r="U29" i="6"/>
  <c r="W33" i="3" s="1"/>
  <c r="E29" i="8"/>
  <c r="I29" i="8" s="1"/>
  <c r="E33" i="3"/>
  <c r="E28" i="3"/>
  <c r="E24" i="8"/>
  <c r="K24" i="8" s="1"/>
  <c r="U26" i="6"/>
  <c r="W30" i="3" s="1"/>
  <c r="E30" i="3"/>
  <c r="E26" i="8"/>
  <c r="G26" i="8" s="1"/>
  <c r="E12" i="3"/>
  <c r="AA12" i="3" s="1"/>
  <c r="U25" i="6"/>
  <c r="W29" i="3" s="1"/>
  <c r="E29" i="3"/>
  <c r="E25" i="8"/>
  <c r="G25" i="8" s="1"/>
  <c r="E32" i="3"/>
  <c r="E28" i="8"/>
  <c r="I28" i="8" s="1"/>
  <c r="E30" i="6"/>
  <c r="E8" i="8"/>
  <c r="E11" i="8"/>
  <c r="E20" i="8"/>
  <c r="E17" i="8"/>
  <c r="E70" i="7"/>
  <c r="C16" i="4" s="1"/>
  <c r="I17" i="3"/>
  <c r="K9" i="3"/>
  <c r="I8" i="6"/>
  <c r="I9" i="3"/>
  <c r="K8" i="6"/>
  <c r="G8" i="6"/>
  <c r="G8" i="3" s="1"/>
  <c r="K17" i="3"/>
  <c r="G13" i="3"/>
  <c r="I13" i="3"/>
  <c r="K25" i="3"/>
  <c r="I25" i="3"/>
  <c r="P48" i="7"/>
  <c r="H48" i="7"/>
  <c r="H14" i="8" s="1"/>
  <c r="V48" i="7"/>
  <c r="Q48" i="7"/>
  <c r="Q14" i="6" s="1"/>
  <c r="S16" i="3" s="1"/>
  <c r="W48" i="7"/>
  <c r="W14" i="6" s="1"/>
  <c r="Y16" i="3" s="1"/>
  <c r="O48" i="7"/>
  <c r="O14" i="6" s="1"/>
  <c r="Q16" i="3" s="1"/>
  <c r="G48" i="7"/>
  <c r="G14" i="6" s="1"/>
  <c r="G16" i="3" s="1"/>
  <c r="N48" i="7"/>
  <c r="R48" i="7"/>
  <c r="U48" i="7"/>
  <c r="U14" i="6" s="1"/>
  <c r="M48" i="7"/>
  <c r="M14" i="6" s="1"/>
  <c r="O16" i="3" s="1"/>
  <c r="T48" i="7"/>
  <c r="L48" i="7"/>
  <c r="K48" i="7"/>
  <c r="K14" i="6" s="1"/>
  <c r="K16" i="3" s="1"/>
  <c r="J48" i="7"/>
  <c r="J14" i="8" s="1"/>
  <c r="I48" i="7"/>
  <c r="I14" i="6" s="1"/>
  <c r="I16" i="3" s="1"/>
  <c r="E42" i="7"/>
  <c r="E54" i="7"/>
  <c r="E51" i="7"/>
  <c r="G17" i="6"/>
  <c r="G20" i="3" s="1"/>
  <c r="E45" i="7"/>
  <c r="S48" i="7"/>
  <c r="S14" i="6" s="1"/>
  <c r="U16" i="3" s="1"/>
  <c r="G21" i="3"/>
  <c r="I21" i="3"/>
  <c r="M29" i="6"/>
  <c r="O33" i="3" s="1"/>
  <c r="O29" i="6"/>
  <c r="Q33" i="3" s="1"/>
  <c r="E13" i="6"/>
  <c r="Q28" i="6"/>
  <c r="O25" i="6"/>
  <c r="Q29" i="3" s="1"/>
  <c r="Q25" i="6"/>
  <c r="S29" i="3" s="1"/>
  <c r="I28" i="6"/>
  <c r="K29" i="6"/>
  <c r="K33" i="3" s="1"/>
  <c r="M26" i="6"/>
  <c r="O30" i="3" s="1"/>
  <c r="Q26" i="6"/>
  <c r="S30" i="3" s="1"/>
  <c r="K28" i="6"/>
  <c r="S26" i="6"/>
  <c r="U30" i="3" s="1"/>
  <c r="M28" i="6"/>
  <c r="O26" i="6"/>
  <c r="Q30" i="3" s="1"/>
  <c r="M25" i="6"/>
  <c r="O29" i="3" s="1"/>
  <c r="O28" i="6"/>
  <c r="I29" i="6"/>
  <c r="I33" i="3" s="1"/>
  <c r="Q29" i="6"/>
  <c r="S33" i="3" s="1"/>
  <c r="W29" i="6"/>
  <c r="Y33" i="3" s="1"/>
  <c r="K26" i="6"/>
  <c r="K30" i="3" s="1"/>
  <c r="S25" i="6"/>
  <c r="U29" i="3" s="1"/>
  <c r="W25" i="6"/>
  <c r="Y29" i="3" s="1"/>
  <c r="W26" i="6"/>
  <c r="Y30" i="3" s="1"/>
  <c r="S28" i="6"/>
  <c r="S29" i="6"/>
  <c r="U33" i="3" s="1"/>
  <c r="I26" i="6"/>
  <c r="I30" i="3" s="1"/>
  <c r="W28" i="6"/>
  <c r="G29" i="6"/>
  <c r="G33" i="3" s="1"/>
  <c r="E8" i="5"/>
  <c r="E6" i="4"/>
  <c r="E8" i="4" s="1"/>
  <c r="E20" i="3" l="1"/>
  <c r="AA20" i="3" s="1"/>
  <c r="K27" i="8"/>
  <c r="K28" i="8"/>
  <c r="I27" i="8"/>
  <c r="I24" i="8"/>
  <c r="I31" i="8" s="1"/>
  <c r="I25" i="8"/>
  <c r="G29" i="8"/>
  <c r="AA33" i="3"/>
  <c r="I25" i="6"/>
  <c r="I29" i="3" s="1"/>
  <c r="I8" i="3"/>
  <c r="E34" i="3"/>
  <c r="K29" i="8"/>
  <c r="K26" i="8"/>
  <c r="I26" i="8"/>
  <c r="K25" i="8"/>
  <c r="L25" i="8" s="1"/>
  <c r="E14" i="8"/>
  <c r="K25" i="6"/>
  <c r="K29" i="3" s="1"/>
  <c r="K8" i="3"/>
  <c r="E31" i="8"/>
  <c r="G24" i="8"/>
  <c r="G31" i="8" s="1"/>
  <c r="U27" i="6"/>
  <c r="W31" i="3" s="1"/>
  <c r="U24" i="6"/>
  <c r="W16" i="3"/>
  <c r="E16" i="3" s="1"/>
  <c r="AA16" i="3" s="1"/>
  <c r="L27" i="8"/>
  <c r="O32" i="3"/>
  <c r="S32" i="3"/>
  <c r="Y32" i="3"/>
  <c r="K32" i="3"/>
  <c r="U32" i="3"/>
  <c r="Q32" i="3"/>
  <c r="I32" i="3"/>
  <c r="E30" i="8"/>
  <c r="G28" i="8"/>
  <c r="K31" i="8"/>
  <c r="E9" i="3"/>
  <c r="G28" i="6"/>
  <c r="E25" i="3"/>
  <c r="G27" i="6"/>
  <c r="G31" i="3" s="1"/>
  <c r="E13" i="3"/>
  <c r="E48" i="7"/>
  <c r="G7" i="4"/>
  <c r="G8" i="4" s="1"/>
  <c r="E15" i="4"/>
  <c r="E13" i="4"/>
  <c r="E17" i="3"/>
  <c r="E21" i="3"/>
  <c r="W27" i="6"/>
  <c r="Y31" i="3" s="1"/>
  <c r="O27" i="6"/>
  <c r="Q31" i="3" s="1"/>
  <c r="S24" i="6"/>
  <c r="U28" i="3" s="1"/>
  <c r="K24" i="6"/>
  <c r="K28" i="3" s="1"/>
  <c r="G24" i="6"/>
  <c r="G28" i="3" s="1"/>
  <c r="Q24" i="6"/>
  <c r="S28" i="3" s="1"/>
  <c r="I24" i="6"/>
  <c r="I28" i="3" s="1"/>
  <c r="G26" i="6"/>
  <c r="G30" i="3" s="1"/>
  <c r="AA30" i="3" s="1"/>
  <c r="E11" i="6"/>
  <c r="E8" i="6"/>
  <c r="G25" i="6"/>
  <c r="G29" i="3" s="1"/>
  <c r="E20" i="6"/>
  <c r="E17" i="6"/>
  <c r="I30" i="8" l="1"/>
  <c r="AA29" i="3"/>
  <c r="E8" i="3"/>
  <c r="AA8" i="3" s="1"/>
  <c r="L29" i="8"/>
  <c r="L24" i="8"/>
  <c r="K30" i="8"/>
  <c r="K32" i="8" s="1"/>
  <c r="L26" i="8"/>
  <c r="E32" i="8"/>
  <c r="W28" i="3"/>
  <c r="W34" i="3" s="1"/>
  <c r="W41" i="3" s="1"/>
  <c r="E41" i="3" s="1"/>
  <c r="U30" i="6"/>
  <c r="L28" i="8"/>
  <c r="G30" i="8"/>
  <c r="G32" i="8" s="1"/>
  <c r="G30" i="6"/>
  <c r="G32" i="3"/>
  <c r="L31" i="8"/>
  <c r="I32" i="8"/>
  <c r="O24" i="6"/>
  <c r="S27" i="6"/>
  <c r="Q27" i="6"/>
  <c r="S31" i="3" s="1"/>
  <c r="S34" i="3" s="1"/>
  <c r="M24" i="6"/>
  <c r="M27" i="6"/>
  <c r="O31" i="3" s="1"/>
  <c r="E14" i="6"/>
  <c r="W24" i="6"/>
  <c r="I27" i="6"/>
  <c r="I31" i="3" s="1"/>
  <c r="I34" i="3" s="1"/>
  <c r="K27" i="6"/>
  <c r="E11" i="4"/>
  <c r="G11" i="4" s="1"/>
  <c r="E14" i="4"/>
  <c r="G14" i="4" s="1"/>
  <c r="E10" i="4"/>
  <c r="E12" i="4"/>
  <c r="G12" i="4" s="1"/>
  <c r="Q30" i="6" l="1"/>
  <c r="G34" i="3"/>
  <c r="AA32" i="3"/>
  <c r="S39" i="3"/>
  <c r="E39" i="3" s="1"/>
  <c r="G39" i="3" s="1"/>
  <c r="Y28" i="3"/>
  <c r="Y34" i="3" s="1"/>
  <c r="Y42" i="3" s="1"/>
  <c r="E42" i="3" s="1"/>
  <c r="W30" i="6"/>
  <c r="O28" i="3"/>
  <c r="M30" i="6"/>
  <c r="U31" i="3"/>
  <c r="U34" i="3" s="1"/>
  <c r="S30" i="6"/>
  <c r="Q28" i="3"/>
  <c r="Q34" i="3" s="1"/>
  <c r="Q38" i="3" s="1"/>
  <c r="E38" i="3" s="1"/>
  <c r="O30" i="6"/>
  <c r="W47" i="3"/>
  <c r="K31" i="3"/>
  <c r="K30" i="6"/>
  <c r="I30" i="6"/>
  <c r="L32" i="8"/>
  <c r="L30" i="8"/>
  <c r="K41" i="3"/>
  <c r="G41" i="3"/>
  <c r="I41" i="3"/>
  <c r="G10" i="4"/>
  <c r="G17" i="4" s="1"/>
  <c r="G7" i="5" s="1"/>
  <c r="H7" i="5" s="1"/>
  <c r="E17" i="4"/>
  <c r="G6" i="5" s="1"/>
  <c r="H6" i="5" s="1"/>
  <c r="K39" i="3" l="1"/>
  <c r="I39" i="3"/>
  <c r="Y30" i="6"/>
  <c r="U40" i="3"/>
  <c r="E40" i="3" s="1"/>
  <c r="AA28" i="3"/>
  <c r="O34" i="3"/>
  <c r="K34" i="3"/>
  <c r="AA31" i="3"/>
  <c r="Y47" i="3"/>
  <c r="Q47" i="3"/>
  <c r="S47" i="3"/>
  <c r="H8" i="5"/>
  <c r="E11" i="5" s="1"/>
  <c r="K38" i="3"/>
  <c r="I38" i="3"/>
  <c r="G38" i="3"/>
  <c r="AA41" i="3"/>
  <c r="I42" i="3"/>
  <c r="K42" i="3"/>
  <c r="G42" i="3"/>
  <c r="AA39" i="3" l="1"/>
  <c r="O37" i="3"/>
  <c r="E37" i="3" s="1"/>
  <c r="E46" i="3" s="1"/>
  <c r="K40" i="3"/>
  <c r="I40" i="3"/>
  <c r="G40" i="3"/>
  <c r="AA40" i="3" s="1"/>
  <c r="U47" i="3"/>
  <c r="AA34" i="3"/>
  <c r="AA42" i="3"/>
  <c r="AA38" i="3"/>
  <c r="G37" i="3" l="1"/>
  <c r="K37" i="3"/>
  <c r="I37" i="3"/>
  <c r="I46" i="3" s="1"/>
  <c r="E43" i="3"/>
  <c r="O47" i="3"/>
  <c r="G46" i="3" l="1"/>
  <c r="AA37" i="3"/>
  <c r="G43" i="3"/>
  <c r="G45" i="3" s="1"/>
  <c r="I43" i="3"/>
  <c r="K46" i="3"/>
  <c r="K43" i="3"/>
  <c r="I45" i="3" l="1"/>
  <c r="I47" i="3" s="1"/>
  <c r="G47" i="3"/>
  <c r="G33" i="8" s="1"/>
  <c r="G34" i="8" s="1"/>
  <c r="G35" i="8" s="1"/>
  <c r="AA43" i="3"/>
  <c r="K45" i="3"/>
  <c r="I33" i="8" l="1"/>
  <c r="I34" i="8" s="1"/>
  <c r="I35" i="8" s="1"/>
  <c r="C12" i="1"/>
  <c r="C13" i="1" s="1"/>
  <c r="C15" i="1" s="1"/>
  <c r="J6" i="5" s="1"/>
  <c r="K6" i="5" s="1"/>
  <c r="E12" i="5" s="1"/>
  <c r="E13" i="5" s="1"/>
  <c r="E15" i="5" s="1"/>
  <c r="K47" i="3"/>
  <c r="K33" i="8" s="1"/>
  <c r="K34" i="8" s="1"/>
  <c r="K35" i="8" s="1"/>
  <c r="E45" i="3"/>
  <c r="AA45" i="3" s="1"/>
  <c r="E47" i="3" l="1"/>
  <c r="E33" i="8" s="1"/>
  <c r="E34" i="8" s="1"/>
  <c r="E35" i="8" s="1"/>
  <c r="M48" i="3"/>
</calcChain>
</file>

<file path=xl/sharedStrings.xml><?xml version="1.0" encoding="utf-8"?>
<sst xmlns="http://schemas.openxmlformats.org/spreadsheetml/2006/main" count="237" uniqueCount="124">
  <si>
    <t>Allocation Base</t>
  </si>
  <si>
    <t>Headcount</t>
  </si>
  <si>
    <t>FTE</t>
  </si>
  <si>
    <t>Budget</t>
  </si>
  <si>
    <t>Total</t>
  </si>
  <si>
    <t>Transactions</t>
  </si>
  <si>
    <t>Grantee City Central Service Cost Allocation Plan</t>
  </si>
  <si>
    <t>Legal Counsel</t>
  </si>
  <si>
    <t>Civil Service</t>
  </si>
  <si>
    <t>Accounting</t>
  </si>
  <si>
    <t>Department A</t>
  </si>
  <si>
    <t>Department B</t>
  </si>
  <si>
    <t>Department C</t>
  </si>
  <si>
    <t>Nodes</t>
  </si>
  <si>
    <t>Cost Objectives</t>
  </si>
  <si>
    <t>Network nodes</t>
  </si>
  <si>
    <t>IT support</t>
  </si>
  <si>
    <t xml:space="preserve">Allocable central service </t>
  </si>
  <si>
    <t>Total indirect cost</t>
  </si>
  <si>
    <t>Employer SS</t>
  </si>
  <si>
    <t>Salaries &amp; wages - base</t>
  </si>
  <si>
    <t>Pension contribution</t>
  </si>
  <si>
    <t>Overtime</t>
  </si>
  <si>
    <t>Total salaries &amp; wages</t>
  </si>
  <si>
    <t>Active employee health insurance contribution*</t>
  </si>
  <si>
    <t>Straight time</t>
  </si>
  <si>
    <t>Fringe benefit rate</t>
  </si>
  <si>
    <t>Department B Indirect Costs</t>
  </si>
  <si>
    <t>Mayor &amp; Council *</t>
  </si>
  <si>
    <t>Program Indirect Cost Rate</t>
  </si>
  <si>
    <t>City-wide WAN / IT</t>
  </si>
  <si>
    <t>*</t>
  </si>
  <si>
    <t>Fringe benefits</t>
  </si>
  <si>
    <t>Unemployment insurance (FUTA &amp; SUTA)</t>
  </si>
  <si>
    <t>Straight and Overtime Fringe Benefit Rates</t>
  </si>
  <si>
    <t>Supplies, print &amp; copy contracts</t>
  </si>
  <si>
    <t>Agency head (office of, incl. reception, phone operator)</t>
  </si>
  <si>
    <t>Rent, maintenance, security, L/H/P</t>
  </si>
  <si>
    <t>Budget &amp; accounting</t>
  </si>
  <si>
    <t>Allocable indirect costs</t>
  </si>
  <si>
    <t>Indirect Cost</t>
  </si>
  <si>
    <t>Rate</t>
  </si>
  <si>
    <t>$</t>
  </si>
  <si>
    <t>Fringe Benefit</t>
  </si>
  <si>
    <t>Total allowable cost</t>
  </si>
  <si>
    <t>Federal grant match rate</t>
  </si>
  <si>
    <t>Claim amount</t>
  </si>
  <si>
    <t>Legal services hours</t>
  </si>
  <si>
    <t>Mayor &amp; Council</t>
  </si>
  <si>
    <t>Law Department</t>
  </si>
  <si>
    <t>Total Central Service Costs</t>
  </si>
  <si>
    <t>WAN/IT</t>
  </si>
  <si>
    <t>*Less: general cost of government</t>
  </si>
  <si>
    <t xml:space="preserve"> </t>
  </si>
  <si>
    <t>Allocable central services cost</t>
  </si>
  <si>
    <t xml:space="preserve">Central Cost Allocation </t>
  </si>
  <si>
    <t>Subtotal - line departments</t>
  </si>
  <si>
    <t>Reallocated costs</t>
  </si>
  <si>
    <t>City-Wide Total</t>
  </si>
  <si>
    <t xml:space="preserve">Periodic Federal Grant Claim </t>
  </si>
  <si>
    <t xml:space="preserve">Allowable direct salaries &amp; wages of period: </t>
  </si>
  <si>
    <t>* Fringe benefit costs for which there are no incremental costs when overtime is worked.  
   The total cost is allocated based on straight time salaries only.</t>
  </si>
  <si>
    <t>Total fringe benefit costs</t>
  </si>
  <si>
    <t>Grantee City (City) has a strong mayor form of government and a City Council.  It provides public services through three (“line”) departments, A, B and C.</t>
  </si>
  <si>
    <t>In addition to the line departments, the City has the following functions:</t>
  </si>
  <si>
    <t>Civil service</t>
  </si>
  <si>
    <t>Budgeting</t>
  </si>
  <si>
    <t>Information technology /WAN</t>
  </si>
  <si>
    <t>Legal counsel</t>
  </si>
  <si>
    <t>Budget $</t>
  </si>
  <si>
    <t>Notes</t>
  </si>
  <si>
    <t>Hours</t>
  </si>
  <si>
    <t xml:space="preserve"> %</t>
  </si>
  <si>
    <t>%</t>
  </si>
  <si>
    <t>% round 1</t>
  </si>
  <si>
    <t>% round 2</t>
  </si>
  <si>
    <t>In the base year used to calculate the CAP, fringe rates and indirect cost rates, the following statistics apply to each department and other function:</t>
  </si>
  <si>
    <t>A central service cost allocation plan</t>
  </si>
  <si>
    <t>An indirect cost rate calculation</t>
  </si>
  <si>
    <t>A fringe benefit rate calculation</t>
  </si>
  <si>
    <t>A periodic grant claim calculation</t>
  </si>
  <si>
    <t xml:space="preserve">Background: </t>
  </si>
  <si>
    <t>Virtually 100% of the costs of the mayor and the City Council meet the definition of general costs of government and thus are not allocable costs</t>
  </si>
  <si>
    <t>In the base year, the City's fringe benefit costs were:</t>
  </si>
  <si>
    <t>In the base year, Department B's indirect costs were:</t>
  </si>
  <si>
    <t>In the base year, Department B's direct salaries and wages were:</t>
  </si>
  <si>
    <t>In the period covered by the first claim of FY 2023, eligible direct salaries paid for the grant-funded program were:</t>
  </si>
  <si>
    <t>Total direct salaries and wages</t>
  </si>
  <si>
    <t>Final Actual Spending</t>
  </si>
  <si>
    <t>Spending $</t>
  </si>
  <si>
    <t xml:space="preserve">Budget </t>
  </si>
  <si>
    <t>Central Cost Allocation - Round 1</t>
  </si>
  <si>
    <t>Central Cost Allocation - Round 2</t>
  </si>
  <si>
    <t>Straight time (input)</t>
  </si>
  <si>
    <t>Overtime (input)</t>
  </si>
  <si>
    <t>Initially all central service costs are allocated to all departments and other central service cost centers</t>
  </si>
  <si>
    <t>Result</t>
  </si>
  <si>
    <t>*Less: general cost of government  (both rounds)</t>
  </si>
  <si>
    <t>Difference</t>
  </si>
  <si>
    <t>% Difference</t>
  </si>
  <si>
    <t>Allocable central services cost (after reallocation)</t>
  </si>
  <si>
    <t>For its FYE 20X3, Department B receives the City’s first and only federal grant.  The City negotiates (1) a central service cost allocation plan, (2) a fringe benefit rate, and (3) an indirect cost rate for Department B with its federal cognizant agency, which is the federal granting agency, based on actual costs and operating statistics from FY 2021 (base year), the most recent year for which it had audited financial statements at the time the award was announced.</t>
  </si>
  <si>
    <t xml:space="preserve">The City's matching requirement under the grant is: </t>
  </si>
  <si>
    <t>First round costs allocated</t>
  </si>
  <si>
    <t>If costs allocable to central services are not subsequently reallocated, it understates the total costs for line departments, and also understates unallowable costs.</t>
  </si>
  <si>
    <t>Department cost - base year actual</t>
  </si>
  <si>
    <t>Department head (office of, incl. reception, phone operator)</t>
  </si>
  <si>
    <t>Department total direct salaries &amp; wages (base)</t>
  </si>
  <si>
    <t>A second round of allocation is necessary to re-allocate central service costs that were first allocated to other central service functions to the correct line agency (final cost objective)</t>
  </si>
  <si>
    <t>Other direct costs</t>
  </si>
  <si>
    <t>In the period covered by the first claim of FY 2023, other allowable direct costs for the were:</t>
  </si>
  <si>
    <t>Governments should refer directly to the Uniform Guidance and consult their federal cognizant agencies, federal granting agencies</t>
  </si>
  <si>
    <t>GFOA is not responsible for reliance placed on this illustration.</t>
  </si>
  <si>
    <t>No significant amount of any other department's costs meet the definition of general costs of government.</t>
  </si>
  <si>
    <t>In the base year, the City's total salaries and wages were:</t>
  </si>
  <si>
    <t>Additional information and assumptions:</t>
  </si>
  <si>
    <r>
      <rPr>
        <b/>
        <sz val="11"/>
        <color rgb="FFFF0000"/>
        <rFont val="Calibri"/>
        <family val="2"/>
        <scheme val="minor"/>
      </rPr>
      <t>NOTE</t>
    </r>
    <r>
      <rPr>
        <sz val="11"/>
        <color rgb="FFFF0000"/>
        <rFont val="Calibri"/>
        <family val="2"/>
        <scheme val="minor"/>
      </rPr>
      <t>:  The methodology illustrated here is not the only, or even necessarily the best, acceptable approach.</t>
    </r>
  </si>
  <si>
    <t>Additional limitations on indirect cost recovery may imposed by grant terms and conditions, grant agreements, and federal agencies, etc.</t>
  </si>
  <si>
    <t>pass-through entities, independent auditors and other appropriate parties before selecting a methodology and beginning calculations.</t>
  </si>
  <si>
    <r>
      <rPr>
        <b/>
        <sz val="11"/>
        <color theme="1"/>
        <rFont val="Calibri"/>
        <family val="2"/>
        <scheme val="minor"/>
      </rPr>
      <t xml:space="preserve">Objective: </t>
    </r>
    <r>
      <rPr>
        <sz val="11"/>
        <color theme="1"/>
        <rFont val="Calibri"/>
        <family val="2"/>
        <scheme val="minor"/>
      </rPr>
      <t xml:space="preserve"> Prepare the following for the hypothetical Grantee City (City):</t>
    </r>
  </si>
  <si>
    <t>The City develops a central service cost allocation plan (CAP), and allocates costs on the following bases:</t>
  </si>
  <si>
    <t>Employer Medicare</t>
  </si>
  <si>
    <t>OPEB (pay go)*</t>
  </si>
  <si>
    <t>Central Service Cost Allocation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</si>
</sst>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164" fontId="0" fillId="0" borderId="0" xfId="2" applyNumberFormat="1" applyFont="1"/>
    <xf numFmtId="165" fontId="0" fillId="0" borderId="0" xfId="1" applyNumberFormat="1" applyFont="1"/>
    <xf numFmtId="6" fontId="0" fillId="0" borderId="0" xfId="0" applyNumberFormat="1"/>
    <xf numFmtId="0" fontId="0" fillId="0" borderId="0" xfId="0" applyAlignment="1">
      <alignment vertical="center" wrapText="1"/>
    </xf>
    <xf numFmtId="0" fontId="3" fillId="0" borderId="0" xfId="0" applyFont="1" applyAlignment="1">
      <alignment horizontal="left" wrapText="1"/>
    </xf>
    <xf numFmtId="0" fontId="3" fillId="0" borderId="0" xfId="0" applyFont="1" applyAlignment="1">
      <alignment horizontal="center" wrapText="1"/>
    </xf>
    <xf numFmtId="6" fontId="0" fillId="0" borderId="2" xfId="0" applyNumberFormat="1" applyBorder="1"/>
    <xf numFmtId="0" fontId="0" fillId="0" borderId="0" xfId="0" applyAlignment="1">
      <alignment horizontal="center"/>
    </xf>
    <xf numFmtId="0" fontId="2" fillId="0" borderId="0" xfId="0" applyFont="1" applyAlignment="1">
      <alignment horizontal="center" wrapText="1"/>
    </xf>
    <xf numFmtId="0" fontId="0" fillId="0" borderId="0" xfId="0" applyAlignment="1">
      <alignment horizontal="left" wrapText="1" indent="1"/>
    </xf>
    <xf numFmtId="0" fontId="2" fillId="0" borderId="0" xfId="0" applyFont="1"/>
    <xf numFmtId="9" fontId="0" fillId="0" borderId="0" xfId="3" applyFont="1"/>
    <xf numFmtId="10" fontId="0" fillId="0" borderId="0" xfId="3" applyNumberFormat="1" applyFont="1"/>
    <xf numFmtId="0" fontId="2" fillId="0" borderId="0" xfId="0" applyFont="1" applyAlignment="1">
      <alignment horizontal="left" wrapText="1"/>
    </xf>
    <xf numFmtId="0" fontId="2" fillId="0" borderId="0" xfId="0" applyFont="1" applyAlignment="1">
      <alignment wrapText="1"/>
    </xf>
    <xf numFmtId="164" fontId="0" fillId="0" borderId="0" xfId="0" applyNumberFormat="1"/>
    <xf numFmtId="10" fontId="0" fillId="0" borderId="0" xfId="0" applyNumberFormat="1" applyAlignment="1">
      <alignment wrapText="1"/>
    </xf>
    <xf numFmtId="10" fontId="0" fillId="0" borderId="0" xfId="0" applyNumberFormat="1"/>
    <xf numFmtId="165" fontId="0" fillId="0" borderId="1" xfId="1" applyNumberFormat="1" applyFont="1" applyBorder="1"/>
    <xf numFmtId="9" fontId="0" fillId="0" borderId="0" xfId="0" applyNumberFormat="1"/>
    <xf numFmtId="43" fontId="0" fillId="0" borderId="0" xfId="1" applyFont="1" applyAlignment="1">
      <alignment wrapText="1"/>
    </xf>
    <xf numFmtId="165" fontId="0" fillId="0" borderId="0" xfId="0" applyNumberFormat="1"/>
    <xf numFmtId="0" fontId="0" fillId="0" borderId="1" xfId="0" applyBorder="1"/>
    <xf numFmtId="165" fontId="0" fillId="0" borderId="1" xfId="0" applyNumberFormat="1" applyBorder="1"/>
    <xf numFmtId="10" fontId="0" fillId="0" borderId="0" xfId="3" applyNumberFormat="1" applyFont="1" applyAlignment="1">
      <alignment wrapText="1"/>
    </xf>
    <xf numFmtId="0" fontId="2" fillId="0" borderId="0" xfId="0" applyFont="1" applyAlignment="1">
      <alignment horizontal="center"/>
    </xf>
    <xf numFmtId="10" fontId="2" fillId="0" borderId="0" xfId="0" applyNumberFormat="1" applyFont="1"/>
    <xf numFmtId="0" fontId="0" fillId="0" borderId="0" xfId="0" applyAlignment="1">
      <alignment horizontal="left"/>
    </xf>
    <xf numFmtId="0" fontId="2" fillId="0" borderId="0" xfId="0" applyFont="1" applyAlignment="1">
      <alignment horizontal="left" wrapText="1" indent="1"/>
    </xf>
    <xf numFmtId="0" fontId="4" fillId="0" borderId="0" xfId="0" applyFont="1" applyAlignment="1">
      <alignment horizontal="left" wrapText="1"/>
    </xf>
    <xf numFmtId="164" fontId="0" fillId="0" borderId="2" xfId="2" applyNumberFormat="1" applyFont="1" applyBorder="1"/>
    <xf numFmtId="6" fontId="0" fillId="0" borderId="4" xfId="0" applyNumberFormat="1" applyBorder="1"/>
    <xf numFmtId="164" fontId="0" fillId="0" borderId="3" xfId="2" applyNumberFormat="1" applyFont="1" applyBorder="1"/>
    <xf numFmtId="164" fontId="0" fillId="0" borderId="0" xfId="2" applyNumberFormat="1" applyFont="1" applyBorder="1"/>
    <xf numFmtId="0" fontId="3" fillId="0" borderId="0" xfId="0" applyFont="1" applyAlignment="1">
      <alignment horizontal="center"/>
    </xf>
    <xf numFmtId="165" fontId="0" fillId="0" borderId="0" xfId="1" applyNumberFormat="1" applyFont="1" applyBorder="1"/>
    <xf numFmtId="165" fontId="2" fillId="0" borderId="0" xfId="1" applyNumberFormat="1" applyFont="1"/>
    <xf numFmtId="0" fontId="4" fillId="0" borderId="0" xfId="0" applyFont="1"/>
    <xf numFmtId="0" fontId="4" fillId="0" borderId="0" xfId="0" applyFont="1" applyAlignment="1">
      <alignment wrapText="1"/>
    </xf>
    <xf numFmtId="9" fontId="4" fillId="0" borderId="0" xfId="3" applyFont="1"/>
    <xf numFmtId="165" fontId="4" fillId="0" borderId="0" xfId="1" applyNumberFormat="1" applyFont="1"/>
    <xf numFmtId="43" fontId="0" fillId="0" borderId="0" xfId="0" applyNumberFormat="1"/>
    <xf numFmtId="43" fontId="5" fillId="0" borderId="0" xfId="1" applyFont="1"/>
    <xf numFmtId="0" fontId="3" fillId="0" borderId="0" xfId="0" applyFont="1" applyAlignment="1">
      <alignment horizontal="left"/>
    </xf>
    <xf numFmtId="165" fontId="0" fillId="0" borderId="0" xfId="0" applyNumberFormat="1" applyAlignment="1">
      <alignment horizontal="left" wrapText="1"/>
    </xf>
    <xf numFmtId="10" fontId="0" fillId="0" borderId="0" xfId="3" applyNumberFormat="1" applyFont="1" applyAlignment="1">
      <alignment horizontal="center"/>
    </xf>
    <xf numFmtId="165" fontId="4" fillId="2" borderId="0" xfId="1" applyNumberFormat="1" applyFont="1" applyFill="1"/>
    <xf numFmtId="0" fontId="4" fillId="2" borderId="0" xfId="0" applyFont="1" applyFill="1" applyAlignment="1">
      <alignment wrapText="1"/>
    </xf>
    <xf numFmtId="0" fontId="4" fillId="2" borderId="0" xfId="0" applyFont="1" applyFill="1"/>
    <xf numFmtId="9" fontId="4" fillId="2" borderId="0" xfId="3" applyFont="1" applyFill="1"/>
    <xf numFmtId="38" fontId="0" fillId="0" borderId="0" xfId="0" applyNumberFormat="1" applyAlignment="1">
      <alignment horizontal="center"/>
    </xf>
    <xf numFmtId="6" fontId="0" fillId="0" borderId="0" xfId="3" applyNumberFormat="1" applyFont="1" applyAlignment="1"/>
    <xf numFmtId="0" fontId="3" fillId="0" borderId="0" xfId="0" applyFont="1" applyAlignment="1">
      <alignment wrapText="1"/>
    </xf>
    <xf numFmtId="0" fontId="3" fillId="0" borderId="0" xfId="0" applyFont="1" applyAlignment="1">
      <alignment vertical="center" wrapText="1"/>
    </xf>
    <xf numFmtId="165" fontId="5" fillId="0" borderId="0" xfId="1" applyNumberFormat="1" applyFont="1"/>
    <xf numFmtId="0" fontId="5" fillId="0" borderId="0" xfId="0" applyFont="1" applyAlignment="1">
      <alignment horizontal="center"/>
    </xf>
    <xf numFmtId="0" fontId="0" fillId="0" borderId="0" xfId="0" applyAlignment="1">
      <alignment horizontal="left" indent="1"/>
    </xf>
    <xf numFmtId="0" fontId="2" fillId="0" borderId="0" xfId="0" applyFont="1" applyAlignment="1">
      <alignment horizontal="left" indent="1"/>
    </xf>
    <xf numFmtId="165" fontId="0" fillId="0" borderId="0" xfId="1" applyNumberFormat="1" applyFont="1" applyFill="1"/>
    <xf numFmtId="164" fontId="0" fillId="0" borderId="0" xfId="2" applyNumberFormat="1" applyFont="1" applyFill="1"/>
    <xf numFmtId="6" fontId="0" fillId="0" borderId="3" xfId="0" applyNumberFormat="1" applyBorder="1"/>
    <xf numFmtId="165" fontId="0" fillId="0" borderId="3" xfId="1" applyNumberFormat="1" applyFont="1" applyBorder="1"/>
    <xf numFmtId="10" fontId="2" fillId="0" borderId="2" xfId="3" applyNumberFormat="1" applyFont="1" applyBorder="1"/>
    <xf numFmtId="10" fontId="2" fillId="0" borderId="2" xfId="0" applyNumberFormat="1" applyFont="1" applyBorder="1"/>
    <xf numFmtId="164" fontId="1" fillId="0" borderId="2" xfId="2" applyNumberFormat="1" applyFont="1" applyBorder="1"/>
    <xf numFmtId="164" fontId="1" fillId="0" borderId="0" xfId="2" applyNumberFormat="1" applyFont="1" applyBorder="1"/>
    <xf numFmtId="0" fontId="2" fillId="0" borderId="3" xfId="0" applyFont="1" applyBorder="1" applyAlignment="1">
      <alignment wrapText="1"/>
    </xf>
    <xf numFmtId="0" fontId="0" fillId="0" borderId="0" xfId="0" applyAlignment="1">
      <alignment horizontal="left" vertical="center" wrapText="1"/>
    </xf>
    <xf numFmtId="9" fontId="4" fillId="0" borderId="0" xfId="0" applyNumberFormat="1" applyFont="1" applyAlignment="1">
      <alignment wrapText="1"/>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wrapText="1" indent="2"/>
    </xf>
    <xf numFmtId="0" fontId="0" fillId="0" borderId="0" xfId="0" applyAlignment="1">
      <alignment horizontal="left" indent="2"/>
    </xf>
    <xf numFmtId="164" fontId="0" fillId="3" borderId="0" xfId="2" applyNumberFormat="1" applyFont="1" applyFill="1"/>
    <xf numFmtId="165" fontId="0" fillId="3" borderId="0" xfId="1" applyNumberFormat="1" applyFont="1" applyFill="1"/>
    <xf numFmtId="0" fontId="3" fillId="4" borderId="0" xfId="0" applyFont="1" applyFill="1" applyAlignment="1">
      <alignment wrapText="1"/>
    </xf>
    <xf numFmtId="0" fontId="3" fillId="4" borderId="0" xfId="0" applyFont="1" applyFill="1" applyAlignment="1">
      <alignment horizontal="left"/>
    </xf>
    <xf numFmtId="0" fontId="3" fillId="4" borderId="0" xfId="0" applyFont="1" applyFill="1" applyAlignment="1">
      <alignment horizontal="center" wrapText="1"/>
    </xf>
    <xf numFmtId="0" fontId="0" fillId="4" borderId="0" xfId="0" applyFill="1" applyAlignment="1">
      <alignment wrapText="1"/>
    </xf>
    <xf numFmtId="0" fontId="0" fillId="4" borderId="0" xfId="0" applyFill="1"/>
    <xf numFmtId="0" fontId="0" fillId="4" borderId="0" xfId="0" applyFill="1" applyAlignment="1">
      <alignment horizontal="left"/>
    </xf>
    <xf numFmtId="6" fontId="0" fillId="4" borderId="0" xfId="0" applyNumberFormat="1" applyFill="1"/>
    <xf numFmtId="164" fontId="0" fillId="4" borderId="0" xfId="2" applyNumberFormat="1" applyFont="1" applyFill="1"/>
    <xf numFmtId="0" fontId="0" fillId="4" borderId="0" xfId="0" applyFill="1" applyAlignment="1">
      <alignment horizontal="left" wrapText="1"/>
    </xf>
    <xf numFmtId="165" fontId="0" fillId="4" borderId="0" xfId="1" applyNumberFormat="1" applyFont="1" applyFill="1"/>
    <xf numFmtId="0" fontId="6" fillId="2" borderId="0" xfId="0" applyFont="1" applyFill="1" applyAlignment="1">
      <alignment horizontal="center" wrapText="1"/>
    </xf>
    <xf numFmtId="165" fontId="0" fillId="2" borderId="0" xfId="1" applyNumberFormat="1" applyFont="1" applyFill="1"/>
    <xf numFmtId="6" fontId="0" fillId="2" borderId="0" xfId="0" applyNumberFormat="1" applyFill="1"/>
    <xf numFmtId="43" fontId="5" fillId="4" borderId="0" xfId="1" applyFont="1" applyFill="1"/>
    <xf numFmtId="43" fontId="5" fillId="0" borderId="0" xfId="1" applyFont="1" applyFill="1" applyAlignment="1"/>
    <xf numFmtId="165" fontId="0" fillId="4" borderId="1" xfId="1" applyNumberFormat="1" applyFont="1" applyFill="1" applyBorder="1"/>
    <xf numFmtId="6" fontId="2" fillId="0" borderId="0" xfId="0" applyNumberFormat="1" applyFont="1"/>
    <xf numFmtId="165" fontId="7" fillId="0" borderId="1" xfId="1" applyNumberFormat="1" applyFont="1" applyBorder="1"/>
    <xf numFmtId="0" fontId="7" fillId="0" borderId="0" xfId="0" applyFont="1" applyAlignment="1">
      <alignment horizontal="center"/>
    </xf>
    <xf numFmtId="165" fontId="7" fillId="0" borderId="0" xfId="1" applyNumberFormat="1" applyFont="1"/>
    <xf numFmtId="9" fontId="5" fillId="0" borderId="0" xfId="3" applyFont="1"/>
    <xf numFmtId="6" fontId="5" fillId="0" borderId="0" xfId="0" applyNumberFormat="1" applyFont="1"/>
    <xf numFmtId="9" fontId="8" fillId="0" borderId="0" xfId="3" applyFont="1"/>
    <xf numFmtId="6" fontId="0" fillId="0" borderId="1" xfId="0" applyNumberFormat="1" applyBorder="1"/>
    <xf numFmtId="6" fontId="2" fillId="0" borderId="1" xfId="0" applyNumberFormat="1" applyFont="1" applyBorder="1"/>
    <xf numFmtId="165" fontId="4" fillId="0" borderId="0" xfId="1" applyNumberFormat="1" applyFont="1" applyBorder="1"/>
    <xf numFmtId="165" fontId="0" fillId="4" borderId="0" xfId="1" applyNumberFormat="1" applyFont="1" applyFill="1" applyBorder="1"/>
    <xf numFmtId="9" fontId="4" fillId="0" borderId="0" xfId="3" applyFont="1" applyBorder="1"/>
    <xf numFmtId="164" fontId="0" fillId="4" borderId="0" xfId="2" applyNumberFormat="1" applyFont="1" applyFill="1" applyBorder="1"/>
    <xf numFmtId="165" fontId="0" fillId="0" borderId="2" xfId="0" applyNumberFormat="1" applyBorder="1"/>
    <xf numFmtId="165" fontId="2" fillId="0" borderId="2" xfId="0" applyNumberFormat="1" applyFont="1" applyBorder="1"/>
    <xf numFmtId="164" fontId="0" fillId="0" borderId="3" xfId="0" applyNumberFormat="1" applyBorder="1"/>
    <xf numFmtId="0" fontId="0" fillId="3" borderId="0" xfId="0" applyFill="1"/>
    <xf numFmtId="0" fontId="5" fillId="0" borderId="0" xfId="0" applyFont="1"/>
    <xf numFmtId="0" fontId="8" fillId="0" borderId="0" xfId="0" applyFont="1"/>
    <xf numFmtId="0" fontId="0" fillId="0" borderId="0" xfId="0" applyAlignment="1">
      <alignment vertical="center"/>
    </xf>
    <xf numFmtId="0" fontId="0" fillId="0" borderId="0" xfId="0" applyAlignment="1">
      <alignment horizontal="left" wrapText="1"/>
    </xf>
    <xf numFmtId="0" fontId="0" fillId="0" borderId="0" xfId="0" applyAlignment="1">
      <alignment horizontal="left" vertical="center" wrapText="1"/>
    </xf>
    <xf numFmtId="0" fontId="2" fillId="0" borderId="3" xfId="0" applyFont="1" applyBorder="1" applyAlignment="1">
      <alignment horizontal="center" wrapText="1"/>
    </xf>
    <xf numFmtId="0" fontId="0" fillId="0" borderId="0" xfId="0" applyAlignment="1">
      <alignment horizontal="left" wrapText="1" indent="1"/>
    </xf>
    <xf numFmtId="0" fontId="2" fillId="0" borderId="4" xfId="0" applyFont="1" applyBorder="1" applyAlignment="1">
      <alignment horizontal="center" wrapText="1"/>
    </xf>
    <xf numFmtId="0" fontId="2" fillId="0" borderId="1" xfId="0" applyFont="1" applyBorder="1" applyAlignment="1">
      <alignment horizontal="left" wrapText="1"/>
    </xf>
    <xf numFmtId="0" fontId="2" fillId="0" borderId="0" xfId="0" applyFont="1" applyAlignment="1">
      <alignment horizontal="left" wrapText="1"/>
    </xf>
    <xf numFmtId="0" fontId="0" fillId="5" borderId="0" xfId="0" applyFill="1" applyAlignment="1">
      <alignment horizontal="left" wrapText="1"/>
    </xf>
    <xf numFmtId="0" fontId="0" fillId="0" borderId="0" xfId="0" applyAlignment="1">
      <alignment horizontal="left" indent="1"/>
    </xf>
    <xf numFmtId="0" fontId="2" fillId="0" borderId="1" xfId="0" applyFont="1" applyBorder="1" applyAlignment="1">
      <alignment horizontal="center" wrapText="1"/>
    </xf>
    <xf numFmtId="0" fontId="2" fillId="0" borderId="0" xfId="0" applyFont="1" applyAlignment="1">
      <alignment horizontal="center" wrapText="1"/>
    </xf>
    <xf numFmtId="0" fontId="0" fillId="0" borderId="0" xfId="0" quotePrefix="1" applyAlignment="1">
      <alignment horizontal="left" wrapText="1"/>
    </xf>
    <xf numFmtId="0" fontId="0" fillId="0" borderId="1" xfId="0"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3"/>
  <sheetViews>
    <sheetView tabSelected="1" zoomScaleNormal="100" workbookViewId="0"/>
  </sheetViews>
  <sheetFormatPr defaultRowHeight="14.25" x14ac:dyDescent="0.45"/>
  <cols>
    <col min="1" max="1" width="3.46484375" customWidth="1"/>
    <col min="2" max="2" width="3.46484375" style="73" customWidth="1"/>
    <col min="3" max="3" width="32.796875" customWidth="1"/>
    <col min="4" max="4" width="1.46484375" customWidth="1"/>
    <col min="5" max="5" width="13.53125" customWidth="1"/>
    <col min="6" max="6" width="1.46484375" customWidth="1"/>
    <col min="7" max="7" width="16.796875" customWidth="1"/>
    <col min="8" max="8" width="1.46484375" customWidth="1"/>
    <col min="9" max="9" width="14.53125" customWidth="1"/>
    <col min="10" max="10" width="1.46484375" customWidth="1"/>
    <col min="11" max="11" width="14.53125" customWidth="1"/>
    <col min="12" max="12" width="1.46484375" customWidth="1"/>
    <col min="13" max="13" width="14.53125" customWidth="1"/>
    <col min="14" max="14" width="1.46484375" customWidth="1"/>
    <col min="15" max="15" width="16.46484375" customWidth="1"/>
    <col min="16" max="16" width="1.46484375" customWidth="1"/>
    <col min="17" max="17" width="14.53125" customWidth="1"/>
    <col min="18" max="18" width="1.46484375" customWidth="1"/>
    <col min="19" max="19" width="14.53125" customWidth="1"/>
    <col min="20" max="20" width="1.46484375" customWidth="1"/>
    <col min="21" max="21" width="14.53125" customWidth="1"/>
    <col min="22" max="22" width="1.46484375" customWidth="1"/>
    <col min="23" max="23" width="14.53125" customWidth="1"/>
  </cols>
  <sheetData>
    <row r="1" spans="1:15" x14ac:dyDescent="0.45">
      <c r="A1" s="112" t="s">
        <v>116</v>
      </c>
    </row>
    <row r="2" spans="1:15" x14ac:dyDescent="0.45">
      <c r="A2" s="112" t="s">
        <v>111</v>
      </c>
    </row>
    <row r="3" spans="1:15" x14ac:dyDescent="0.45">
      <c r="A3" s="112" t="s">
        <v>118</v>
      </c>
    </row>
    <row r="4" spans="1:15" x14ac:dyDescent="0.45">
      <c r="A4" s="112" t="s">
        <v>117</v>
      </c>
    </row>
    <row r="5" spans="1:15" x14ac:dyDescent="0.45">
      <c r="A5" s="113" t="s">
        <v>112</v>
      </c>
    </row>
    <row r="8" spans="1:15" x14ac:dyDescent="0.45">
      <c r="E8" s="114"/>
    </row>
    <row r="9" spans="1:15" x14ac:dyDescent="0.45">
      <c r="A9" t="s">
        <v>119</v>
      </c>
    </row>
    <row r="10" spans="1:15" x14ac:dyDescent="0.45">
      <c r="B10" s="73" t="s">
        <v>77</v>
      </c>
    </row>
    <row r="11" spans="1:15" x14ac:dyDescent="0.45">
      <c r="B11" s="73" t="s">
        <v>79</v>
      </c>
    </row>
    <row r="12" spans="1:15" x14ac:dyDescent="0.45">
      <c r="B12" s="73" t="s">
        <v>78</v>
      </c>
    </row>
    <row r="13" spans="1:15" x14ac:dyDescent="0.45">
      <c r="B13" s="73" t="s">
        <v>80</v>
      </c>
    </row>
    <row r="15" spans="1:15" x14ac:dyDescent="0.45">
      <c r="A15" s="14" t="s">
        <v>81</v>
      </c>
    </row>
    <row r="16" spans="1:15" x14ac:dyDescent="0.45">
      <c r="B16" s="116" t="s">
        <v>63</v>
      </c>
      <c r="C16" s="116"/>
      <c r="D16" s="116"/>
      <c r="E16" s="116"/>
      <c r="F16" s="116"/>
      <c r="G16" s="116"/>
      <c r="H16" s="116"/>
      <c r="I16" s="116"/>
      <c r="J16" s="116"/>
      <c r="K16" s="116"/>
      <c r="L16" s="116"/>
      <c r="M16" s="116"/>
      <c r="N16" s="116"/>
      <c r="O16" s="116"/>
    </row>
    <row r="17" spans="1:15" x14ac:dyDescent="0.45">
      <c r="A17" s="71"/>
      <c r="B17" s="74"/>
      <c r="C17" s="71"/>
      <c r="D17" s="71"/>
      <c r="E17" s="71"/>
      <c r="F17" s="71"/>
      <c r="G17" s="71"/>
      <c r="H17" s="71"/>
      <c r="I17" s="71"/>
      <c r="J17" s="71"/>
      <c r="K17" s="71"/>
      <c r="L17" s="71"/>
      <c r="M17" s="71"/>
      <c r="N17" s="71"/>
      <c r="O17" s="71"/>
    </row>
    <row r="18" spans="1:15" ht="48" customHeight="1" x14ac:dyDescent="0.45">
      <c r="B18" s="116" t="s">
        <v>101</v>
      </c>
      <c r="C18" s="116"/>
      <c r="D18" s="116"/>
      <c r="E18" s="116"/>
      <c r="F18" s="116"/>
      <c r="G18" s="116"/>
      <c r="H18" s="116"/>
      <c r="I18" s="116"/>
      <c r="J18" s="116"/>
      <c r="K18" s="116"/>
      <c r="L18" s="116"/>
      <c r="M18" s="116"/>
      <c r="N18" s="116"/>
      <c r="O18" s="116"/>
    </row>
    <row r="19" spans="1:15" x14ac:dyDescent="0.45">
      <c r="B19" s="74"/>
      <c r="C19" s="71"/>
      <c r="D19" s="71"/>
      <c r="E19" s="71"/>
      <c r="F19" s="71"/>
      <c r="G19" s="71"/>
      <c r="H19" s="71"/>
      <c r="I19" s="71"/>
      <c r="J19" s="71"/>
      <c r="K19" s="71"/>
      <c r="L19" s="71"/>
      <c r="M19" s="71"/>
      <c r="N19" s="71"/>
      <c r="O19" s="71"/>
    </row>
    <row r="20" spans="1:15" x14ac:dyDescent="0.45">
      <c r="A20" s="14" t="s">
        <v>123</v>
      </c>
    </row>
    <row r="21" spans="1:15" ht="15.75" customHeight="1" x14ac:dyDescent="0.45">
      <c r="B21" s="115" t="s">
        <v>64</v>
      </c>
      <c r="C21" s="115"/>
      <c r="D21" s="115"/>
      <c r="E21" s="115"/>
      <c r="F21" s="115"/>
      <c r="G21" s="115"/>
    </row>
    <row r="22" spans="1:15" x14ac:dyDescent="0.45">
      <c r="C22" t="s">
        <v>48</v>
      </c>
    </row>
    <row r="23" spans="1:15" x14ac:dyDescent="0.45">
      <c r="C23" t="s">
        <v>65</v>
      </c>
    </row>
    <row r="24" spans="1:15" x14ac:dyDescent="0.45">
      <c r="C24" t="s">
        <v>9</v>
      </c>
    </row>
    <row r="25" spans="1:15" x14ac:dyDescent="0.45">
      <c r="C25" t="s">
        <v>66</v>
      </c>
    </row>
    <row r="26" spans="1:15" x14ac:dyDescent="0.45">
      <c r="C26" t="s">
        <v>67</v>
      </c>
    </row>
    <row r="27" spans="1:15" x14ac:dyDescent="0.45">
      <c r="C27" t="s">
        <v>68</v>
      </c>
    </row>
    <row r="29" spans="1:15" x14ac:dyDescent="0.45">
      <c r="B29" s="115" t="s">
        <v>120</v>
      </c>
      <c r="C29" s="115"/>
      <c r="D29" s="115"/>
      <c r="E29" s="115"/>
      <c r="F29" s="115"/>
      <c r="G29" s="115"/>
      <c r="H29" s="115"/>
      <c r="I29" s="115"/>
      <c r="J29" s="115"/>
      <c r="K29" s="115"/>
      <c r="L29" s="115"/>
      <c r="M29" s="115"/>
      <c r="N29" s="115"/>
      <c r="O29" s="115"/>
    </row>
    <row r="30" spans="1:15" x14ac:dyDescent="0.45">
      <c r="C30" t="s">
        <v>48</v>
      </c>
      <c r="E30" t="s">
        <v>69</v>
      </c>
    </row>
    <row r="31" spans="1:15" x14ac:dyDescent="0.45">
      <c r="C31" t="s">
        <v>65</v>
      </c>
      <c r="E31" t="s">
        <v>1</v>
      </c>
    </row>
    <row r="32" spans="1:15" x14ac:dyDescent="0.45">
      <c r="C32" t="s">
        <v>9</v>
      </c>
      <c r="E32" t="s">
        <v>5</v>
      </c>
    </row>
    <row r="33" spans="2:23" x14ac:dyDescent="0.45">
      <c r="C33" t="s">
        <v>66</v>
      </c>
      <c r="E33" t="s">
        <v>69</v>
      </c>
    </row>
    <row r="34" spans="2:23" x14ac:dyDescent="0.45">
      <c r="C34" t="s">
        <v>67</v>
      </c>
      <c r="E34" t="s">
        <v>70</v>
      </c>
    </row>
    <row r="35" spans="2:23" x14ac:dyDescent="0.45">
      <c r="C35" t="s">
        <v>68</v>
      </c>
      <c r="E35" t="s">
        <v>71</v>
      </c>
    </row>
    <row r="37" spans="2:23" ht="18" customHeight="1" x14ac:dyDescent="0.45">
      <c r="B37" s="115" t="s">
        <v>76</v>
      </c>
      <c r="C37" s="115"/>
      <c r="D37" s="115"/>
      <c r="E37" s="115"/>
      <c r="F37" s="115"/>
      <c r="G37" s="115"/>
      <c r="H37" s="115"/>
      <c r="I37" s="115"/>
      <c r="J37" s="115"/>
      <c r="K37" s="115"/>
      <c r="L37" s="115"/>
      <c r="M37" s="115"/>
      <c r="N37" s="115"/>
      <c r="O37" s="115"/>
    </row>
    <row r="38" spans="2:23" ht="9" customHeight="1" x14ac:dyDescent="0.45">
      <c r="B38" s="74"/>
      <c r="C38" s="2"/>
      <c r="D38" s="2"/>
      <c r="E38" s="2"/>
      <c r="F38" s="2"/>
      <c r="G38" s="2"/>
      <c r="H38" s="2"/>
      <c r="I38" s="2"/>
      <c r="J38" s="2"/>
      <c r="K38" s="2"/>
      <c r="L38" s="2"/>
      <c r="M38" s="2"/>
      <c r="N38" s="2"/>
      <c r="O38" s="2"/>
    </row>
    <row r="39" spans="2:23" x14ac:dyDescent="0.45">
      <c r="C39" s="70" t="s">
        <v>0</v>
      </c>
      <c r="D39" s="70"/>
      <c r="E39" s="70"/>
      <c r="F39" s="12"/>
      <c r="G39" s="117" t="s">
        <v>14</v>
      </c>
      <c r="H39" s="117"/>
      <c r="I39" s="117"/>
      <c r="J39" s="117"/>
      <c r="K39" s="117"/>
      <c r="L39" s="117"/>
      <c r="M39" s="117"/>
      <c r="N39" s="117"/>
      <c r="O39" s="117"/>
      <c r="P39" s="117"/>
      <c r="Q39" s="117"/>
      <c r="R39" s="117"/>
      <c r="S39" s="117"/>
      <c r="T39" s="117"/>
      <c r="U39" s="117"/>
      <c r="V39" s="117"/>
      <c r="W39" s="117"/>
    </row>
    <row r="40" spans="2:23" x14ac:dyDescent="0.45">
      <c r="C40" s="9"/>
      <c r="D40" s="3"/>
      <c r="E40" s="9" t="s">
        <v>4</v>
      </c>
      <c r="F40" s="9"/>
      <c r="G40" s="9" t="s">
        <v>10</v>
      </c>
      <c r="H40" s="9"/>
      <c r="I40" s="9" t="s">
        <v>11</v>
      </c>
      <c r="J40" s="9"/>
      <c r="K40" s="9" t="s">
        <v>12</v>
      </c>
      <c r="L40" s="9"/>
      <c r="M40" s="9" t="s">
        <v>48</v>
      </c>
      <c r="N40" s="9"/>
      <c r="O40" s="9" t="s">
        <v>8</v>
      </c>
      <c r="P40" s="9"/>
      <c r="Q40" s="9" t="s">
        <v>9</v>
      </c>
      <c r="R40" s="9"/>
      <c r="S40" s="9" t="s">
        <v>3</v>
      </c>
      <c r="T40" s="9"/>
      <c r="U40" s="9" t="s">
        <v>51</v>
      </c>
      <c r="V40" s="9"/>
      <c r="W40" s="9" t="s">
        <v>49</v>
      </c>
    </row>
    <row r="41" spans="2:23" x14ac:dyDescent="0.45">
      <c r="C41" s="56" t="s">
        <v>2</v>
      </c>
      <c r="E41" s="5">
        <f>SUM(G41:W41)</f>
        <v>500</v>
      </c>
      <c r="G41" s="5">
        <v>200</v>
      </c>
      <c r="H41" s="5"/>
      <c r="I41" s="5">
        <v>150</v>
      </c>
      <c r="J41" s="5"/>
      <c r="K41" s="5">
        <v>66</v>
      </c>
      <c r="L41" s="5"/>
      <c r="M41" s="5">
        <v>28</v>
      </c>
      <c r="N41" s="5"/>
      <c r="O41" s="5">
        <v>20</v>
      </c>
      <c r="P41" s="5"/>
      <c r="Q41" s="5">
        <v>8</v>
      </c>
      <c r="R41" s="5"/>
      <c r="S41" s="5">
        <v>6</v>
      </c>
      <c r="T41" s="5"/>
      <c r="U41" s="5">
        <v>12</v>
      </c>
      <c r="V41" s="5"/>
      <c r="W41" s="5">
        <v>10</v>
      </c>
    </row>
    <row r="42" spans="2:23" x14ac:dyDescent="0.45">
      <c r="C42" s="42" t="s">
        <v>72</v>
      </c>
      <c r="D42" s="41"/>
      <c r="E42" s="43">
        <f>SUM(G42:W42)</f>
        <v>1</v>
      </c>
      <c r="F42" s="41"/>
      <c r="G42" s="43">
        <f>ROUND(+G41/$E41,2)</f>
        <v>0.4</v>
      </c>
      <c r="H42" s="44"/>
      <c r="I42" s="43">
        <f t="shared" ref="I42:W42" si="0">ROUND(+I41/$E41,2)</f>
        <v>0.3</v>
      </c>
      <c r="J42" s="43">
        <f t="shared" si="0"/>
        <v>0</v>
      </c>
      <c r="K42" s="43">
        <f t="shared" si="0"/>
        <v>0.13</v>
      </c>
      <c r="L42" s="43">
        <f t="shared" si="0"/>
        <v>0</v>
      </c>
      <c r="M42" s="43">
        <f t="shared" si="0"/>
        <v>0.06</v>
      </c>
      <c r="N42" s="43">
        <f t="shared" si="0"/>
        <v>0</v>
      </c>
      <c r="O42" s="43">
        <f t="shared" si="0"/>
        <v>0.04</v>
      </c>
      <c r="P42" s="43">
        <f t="shared" si="0"/>
        <v>0</v>
      </c>
      <c r="Q42" s="43">
        <f t="shared" si="0"/>
        <v>0.02</v>
      </c>
      <c r="R42" s="43">
        <f t="shared" si="0"/>
        <v>0</v>
      </c>
      <c r="S42" s="43">
        <f t="shared" si="0"/>
        <v>0.01</v>
      </c>
      <c r="T42" s="43">
        <f t="shared" si="0"/>
        <v>0</v>
      </c>
      <c r="U42" s="43">
        <f t="shared" si="0"/>
        <v>0.02</v>
      </c>
      <c r="V42" s="43">
        <f t="shared" si="0"/>
        <v>0</v>
      </c>
      <c r="W42" s="43">
        <f t="shared" si="0"/>
        <v>0.02</v>
      </c>
    </row>
    <row r="43" spans="2:23" x14ac:dyDescent="0.45">
      <c r="C43" s="1"/>
      <c r="E43" s="5"/>
      <c r="G43" s="5"/>
      <c r="H43" s="5"/>
      <c r="I43" s="5"/>
      <c r="J43" s="5"/>
      <c r="K43" s="5"/>
      <c r="L43" s="5"/>
      <c r="M43" s="5"/>
      <c r="N43" s="5"/>
      <c r="O43" s="5"/>
      <c r="P43" s="5"/>
      <c r="Q43" s="5"/>
      <c r="R43" s="5"/>
      <c r="S43" s="5"/>
      <c r="T43" s="5"/>
      <c r="U43" s="5"/>
      <c r="V43" s="5"/>
      <c r="W43" s="5"/>
    </row>
    <row r="44" spans="2:23" x14ac:dyDescent="0.45">
      <c r="C44" s="56" t="s">
        <v>5</v>
      </c>
      <c r="E44" s="5">
        <f>SUM(G44:W44)</f>
        <v>120000</v>
      </c>
      <c r="G44" s="5">
        <v>25000</v>
      </c>
      <c r="H44" s="5"/>
      <c r="I44" s="5">
        <v>45000</v>
      </c>
      <c r="J44" s="5"/>
      <c r="K44" s="5">
        <v>20600</v>
      </c>
      <c r="L44" s="5"/>
      <c r="M44" s="5">
        <v>15000</v>
      </c>
      <c r="N44" s="5"/>
      <c r="O44" s="5">
        <v>1000</v>
      </c>
      <c r="P44" s="5"/>
      <c r="Q44" s="5">
        <v>0</v>
      </c>
      <c r="R44" s="5"/>
      <c r="S44" s="5">
        <v>2250</v>
      </c>
      <c r="T44" s="5"/>
      <c r="U44" s="5">
        <v>2150</v>
      </c>
      <c r="V44" s="5"/>
      <c r="W44" s="5">
        <v>9000</v>
      </c>
    </row>
    <row r="45" spans="2:23" x14ac:dyDescent="0.45">
      <c r="C45" s="72" t="s">
        <v>73</v>
      </c>
      <c r="D45" s="41"/>
      <c r="E45" s="43">
        <f>SUM(G45:W45)</f>
        <v>1</v>
      </c>
      <c r="F45" s="41"/>
      <c r="G45" s="43">
        <f>ROUND(+G44/$E44,2)</f>
        <v>0.21</v>
      </c>
      <c r="H45" s="43">
        <f>ROUND(+H44/$E44,2)</f>
        <v>0</v>
      </c>
      <c r="I45" s="43">
        <f>ROUND(+I44/$E44,2)-0.01</f>
        <v>0.37</v>
      </c>
      <c r="J45" s="43">
        <f>ROUND(+J44/$E44,2)</f>
        <v>0</v>
      </c>
      <c r="K45" s="43">
        <f>ROUND(+K44/$E44,2)</f>
        <v>0.17</v>
      </c>
      <c r="L45" s="43">
        <f>ROUND(+L44/$E44,2)</f>
        <v>0</v>
      </c>
      <c r="M45" s="43">
        <f>ROUND(+M44/$E44,2)-0.01</f>
        <v>0.12000000000000001</v>
      </c>
      <c r="N45" s="43">
        <f t="shared" ref="N45:W45" si="1">ROUND(+N44/$E44,2)</f>
        <v>0</v>
      </c>
      <c r="O45" s="43">
        <f t="shared" si="1"/>
        <v>0.01</v>
      </c>
      <c r="P45" s="43">
        <f t="shared" si="1"/>
        <v>0</v>
      </c>
      <c r="Q45" s="43">
        <f t="shared" si="1"/>
        <v>0</v>
      </c>
      <c r="R45" s="43">
        <f t="shared" si="1"/>
        <v>0</v>
      </c>
      <c r="S45" s="43">
        <f t="shared" si="1"/>
        <v>0.02</v>
      </c>
      <c r="T45" s="43">
        <f t="shared" si="1"/>
        <v>0</v>
      </c>
      <c r="U45" s="43">
        <f t="shared" si="1"/>
        <v>0.02</v>
      </c>
      <c r="V45" s="43">
        <f t="shared" si="1"/>
        <v>0</v>
      </c>
      <c r="W45" s="43">
        <f t="shared" si="1"/>
        <v>0.08</v>
      </c>
    </row>
    <row r="46" spans="2:23" x14ac:dyDescent="0.45">
      <c r="C46" s="1"/>
      <c r="E46" s="5"/>
      <c r="G46" s="5"/>
      <c r="H46" s="5"/>
      <c r="I46" s="5"/>
      <c r="J46" s="5"/>
      <c r="K46" s="5"/>
      <c r="L46" s="5"/>
      <c r="M46" s="5"/>
      <c r="N46" s="5"/>
      <c r="O46" s="5"/>
      <c r="P46" s="5"/>
      <c r="Q46" s="5"/>
      <c r="R46" s="5"/>
      <c r="S46" s="5"/>
      <c r="T46" s="5"/>
      <c r="U46" s="5"/>
      <c r="V46" s="5"/>
      <c r="W46" s="5"/>
    </row>
    <row r="47" spans="2:23" x14ac:dyDescent="0.45">
      <c r="C47" s="79" t="s">
        <v>88</v>
      </c>
      <c r="E47" s="5">
        <f>SUM(G47:W47)</f>
        <v>30000000</v>
      </c>
      <c r="G47" s="4">
        <v>15000000</v>
      </c>
      <c r="I47" s="6">
        <v>8000000</v>
      </c>
      <c r="K47" s="6">
        <v>3000000</v>
      </c>
      <c r="L47" s="6"/>
      <c r="M47" s="6">
        <v>1000000</v>
      </c>
      <c r="N47" s="6"/>
      <c r="O47" s="6">
        <v>400000</v>
      </c>
      <c r="P47" s="6"/>
      <c r="Q47" s="6">
        <v>300000</v>
      </c>
      <c r="R47" s="6"/>
      <c r="S47" s="6">
        <f>1000000/5</f>
        <v>200000</v>
      </c>
      <c r="T47" s="6"/>
      <c r="U47" s="6">
        <v>800000</v>
      </c>
      <c r="V47" s="6"/>
      <c r="W47" s="6">
        <v>1300000</v>
      </c>
    </row>
    <row r="48" spans="2:23" x14ac:dyDescent="0.45">
      <c r="C48" s="42" t="s">
        <v>73</v>
      </c>
      <c r="D48" s="41"/>
      <c r="E48" s="43">
        <f>SUM(G48:W48)</f>
        <v>1</v>
      </c>
      <c r="F48" s="41"/>
      <c r="G48" s="43">
        <f t="shared" ref="G48:W48" si="2">ROUND(+G47/$E47,2)</f>
        <v>0.5</v>
      </c>
      <c r="H48" s="43">
        <f t="shared" si="2"/>
        <v>0</v>
      </c>
      <c r="I48" s="43">
        <f t="shared" si="2"/>
        <v>0.27</v>
      </c>
      <c r="J48" s="43">
        <f t="shared" si="2"/>
        <v>0</v>
      </c>
      <c r="K48" s="43">
        <f t="shared" si="2"/>
        <v>0.1</v>
      </c>
      <c r="L48" s="43">
        <f t="shared" si="2"/>
        <v>0</v>
      </c>
      <c r="M48" s="43">
        <f t="shared" si="2"/>
        <v>0.03</v>
      </c>
      <c r="N48" s="43">
        <f t="shared" si="2"/>
        <v>0</v>
      </c>
      <c r="O48" s="43">
        <f t="shared" si="2"/>
        <v>0.01</v>
      </c>
      <c r="P48" s="43">
        <f t="shared" si="2"/>
        <v>0</v>
      </c>
      <c r="Q48" s="43">
        <f t="shared" si="2"/>
        <v>0.01</v>
      </c>
      <c r="R48" s="43">
        <f t="shared" si="2"/>
        <v>0</v>
      </c>
      <c r="S48" s="43">
        <f t="shared" si="2"/>
        <v>0.01</v>
      </c>
      <c r="T48" s="43">
        <f t="shared" si="2"/>
        <v>0</v>
      </c>
      <c r="U48" s="43">
        <f t="shared" si="2"/>
        <v>0.03</v>
      </c>
      <c r="V48" s="43">
        <f t="shared" si="2"/>
        <v>0</v>
      </c>
      <c r="W48" s="43">
        <f t="shared" si="2"/>
        <v>0.04</v>
      </c>
    </row>
    <row r="49" spans="2:23" x14ac:dyDescent="0.45">
      <c r="C49" s="1"/>
      <c r="E49" s="6"/>
      <c r="G49" s="4"/>
      <c r="I49" s="6"/>
      <c r="K49" s="6"/>
      <c r="L49" s="6"/>
      <c r="M49" s="6"/>
      <c r="N49" s="6"/>
      <c r="O49" s="6"/>
      <c r="P49" s="6"/>
      <c r="Q49" s="6"/>
      <c r="R49" s="6"/>
      <c r="S49" s="6"/>
      <c r="T49" s="6"/>
      <c r="U49" s="6"/>
      <c r="V49" s="6"/>
      <c r="W49" s="6"/>
    </row>
    <row r="50" spans="2:23" x14ac:dyDescent="0.45">
      <c r="C50" s="57" t="s">
        <v>15</v>
      </c>
      <c r="E50" s="5">
        <f>SUM(G50:W50)</f>
        <v>100</v>
      </c>
      <c r="G50" s="5">
        <v>30</v>
      </c>
      <c r="H50" s="5"/>
      <c r="I50" s="5">
        <v>25</v>
      </c>
      <c r="J50" s="5"/>
      <c r="K50" s="5">
        <v>20</v>
      </c>
      <c r="L50" s="5"/>
      <c r="M50" s="5">
        <v>5</v>
      </c>
      <c r="N50" s="5"/>
      <c r="O50" s="5">
        <v>2</v>
      </c>
      <c r="P50" s="5"/>
      <c r="Q50" s="5">
        <v>3</v>
      </c>
      <c r="R50" s="5"/>
      <c r="S50" s="5">
        <v>2</v>
      </c>
      <c r="T50" s="5"/>
      <c r="U50" s="5">
        <v>5</v>
      </c>
      <c r="V50" s="5"/>
      <c r="W50" s="5">
        <v>8</v>
      </c>
    </row>
    <row r="51" spans="2:23" x14ac:dyDescent="0.45">
      <c r="C51" s="42" t="s">
        <v>73</v>
      </c>
      <c r="D51" s="41"/>
      <c r="E51" s="43">
        <f>SUM(G51:W51)</f>
        <v>1.0000000000000002</v>
      </c>
      <c r="F51" s="41"/>
      <c r="G51" s="43">
        <f t="shared" ref="G51:W51" si="3">ROUND(+G50/$E50,2)</f>
        <v>0.3</v>
      </c>
      <c r="H51" s="43">
        <f t="shared" si="3"/>
        <v>0</v>
      </c>
      <c r="I51" s="43">
        <f t="shared" si="3"/>
        <v>0.25</v>
      </c>
      <c r="J51" s="43">
        <f t="shared" si="3"/>
        <v>0</v>
      </c>
      <c r="K51" s="43">
        <f t="shared" si="3"/>
        <v>0.2</v>
      </c>
      <c r="L51" s="43">
        <f t="shared" si="3"/>
        <v>0</v>
      </c>
      <c r="M51" s="43">
        <f t="shared" si="3"/>
        <v>0.05</v>
      </c>
      <c r="N51" s="43">
        <f t="shared" si="3"/>
        <v>0</v>
      </c>
      <c r="O51" s="43">
        <f t="shared" si="3"/>
        <v>0.02</v>
      </c>
      <c r="P51" s="43">
        <f t="shared" si="3"/>
        <v>0</v>
      </c>
      <c r="Q51" s="43">
        <f t="shared" si="3"/>
        <v>0.03</v>
      </c>
      <c r="R51" s="43">
        <f t="shared" si="3"/>
        <v>0</v>
      </c>
      <c r="S51" s="43">
        <f t="shared" si="3"/>
        <v>0.02</v>
      </c>
      <c r="T51" s="43">
        <f t="shared" si="3"/>
        <v>0</v>
      </c>
      <c r="U51" s="43">
        <f t="shared" si="3"/>
        <v>0.05</v>
      </c>
      <c r="V51" s="43">
        <f t="shared" si="3"/>
        <v>0</v>
      </c>
      <c r="W51" s="43">
        <f t="shared" si="3"/>
        <v>0.08</v>
      </c>
    </row>
    <row r="52" spans="2:23" x14ac:dyDescent="0.45">
      <c r="C52" s="7"/>
      <c r="E52" s="5"/>
      <c r="G52" s="5"/>
      <c r="H52" s="5"/>
      <c r="I52" s="5"/>
      <c r="J52" s="5"/>
      <c r="K52" s="5"/>
      <c r="L52" s="5"/>
      <c r="M52" s="5"/>
      <c r="N52" s="5"/>
      <c r="O52" s="5"/>
      <c r="P52" s="5"/>
      <c r="Q52" s="5"/>
      <c r="R52" s="5"/>
      <c r="S52" s="5"/>
      <c r="T52" s="5"/>
      <c r="U52" s="5"/>
      <c r="V52" s="5"/>
      <c r="W52" s="5"/>
    </row>
    <row r="53" spans="2:23" x14ac:dyDescent="0.45">
      <c r="C53" s="57" t="s">
        <v>47</v>
      </c>
      <c r="E53" s="5">
        <f>SUM(G53:W53)</f>
        <v>35850</v>
      </c>
      <c r="G53" s="5">
        <v>8000</v>
      </c>
      <c r="H53" s="5"/>
      <c r="I53" s="5">
        <v>5000</v>
      </c>
      <c r="J53" s="5"/>
      <c r="K53" s="5">
        <v>1100</v>
      </c>
      <c r="L53" s="5"/>
      <c r="M53" s="5">
        <v>15500</v>
      </c>
      <c r="N53" s="5"/>
      <c r="O53" s="5">
        <v>3000</v>
      </c>
      <c r="P53" s="5"/>
      <c r="Q53" s="5">
        <v>500</v>
      </c>
      <c r="R53" s="5"/>
      <c r="S53" s="5">
        <v>750</v>
      </c>
      <c r="T53" s="5"/>
      <c r="U53" s="5">
        <v>2000</v>
      </c>
      <c r="V53" s="5"/>
      <c r="W53" s="5">
        <v>0</v>
      </c>
    </row>
    <row r="54" spans="2:23" x14ac:dyDescent="0.45">
      <c r="C54" s="42" t="s">
        <v>73</v>
      </c>
      <c r="D54" s="41"/>
      <c r="E54" s="43">
        <f>SUM(G54:W54)</f>
        <v>1</v>
      </c>
      <c r="F54" s="41"/>
      <c r="G54" s="43">
        <f t="shared" ref="G54:P54" si="4">ROUND(+G53/$E53,2)</f>
        <v>0.22</v>
      </c>
      <c r="H54" s="43">
        <f t="shared" si="4"/>
        <v>0</v>
      </c>
      <c r="I54" s="43">
        <f t="shared" si="4"/>
        <v>0.14000000000000001</v>
      </c>
      <c r="J54" s="43">
        <f t="shared" si="4"/>
        <v>0</v>
      </c>
      <c r="K54" s="43">
        <f t="shared" si="4"/>
        <v>0.03</v>
      </c>
      <c r="L54" s="43">
        <f t="shared" si="4"/>
        <v>0</v>
      </c>
      <c r="M54" s="43">
        <f t="shared" si="4"/>
        <v>0.43</v>
      </c>
      <c r="N54" s="43">
        <f t="shared" si="4"/>
        <v>0</v>
      </c>
      <c r="O54" s="43">
        <f t="shared" si="4"/>
        <v>0.08</v>
      </c>
      <c r="P54" s="43">
        <f t="shared" si="4"/>
        <v>0</v>
      </c>
      <c r="Q54" s="43">
        <f>ROUND(+Q53/$E53,2)+0.01</f>
        <v>0.02</v>
      </c>
      <c r="R54" s="43">
        <f t="shared" ref="R54:W54" si="5">ROUND(+R53/$E53,2)</f>
        <v>0</v>
      </c>
      <c r="S54" s="43">
        <f t="shared" si="5"/>
        <v>0.02</v>
      </c>
      <c r="T54" s="43">
        <f t="shared" si="5"/>
        <v>0</v>
      </c>
      <c r="U54" s="43">
        <f t="shared" si="5"/>
        <v>0.06</v>
      </c>
      <c r="V54" s="43">
        <f t="shared" si="5"/>
        <v>0</v>
      </c>
      <c r="W54" s="43">
        <f t="shared" si="5"/>
        <v>0</v>
      </c>
    </row>
    <row r="56" spans="2:23" x14ac:dyDescent="0.45">
      <c r="B56" s="73" t="s">
        <v>115</v>
      </c>
    </row>
    <row r="57" spans="2:23" x14ac:dyDescent="0.45">
      <c r="B57" s="73">
        <v>1</v>
      </c>
      <c r="C57" t="s">
        <v>82</v>
      </c>
    </row>
    <row r="58" spans="2:23" x14ac:dyDescent="0.45">
      <c r="B58" s="73">
        <v>2</v>
      </c>
      <c r="C58" t="s">
        <v>113</v>
      </c>
    </row>
    <row r="59" spans="2:23" x14ac:dyDescent="0.45">
      <c r="B59" s="73">
        <v>3</v>
      </c>
      <c r="C59" t="s">
        <v>114</v>
      </c>
    </row>
    <row r="60" spans="2:23" x14ac:dyDescent="0.45">
      <c r="C60" s="13" t="s">
        <v>20</v>
      </c>
      <c r="E60" s="19">
        <v>19500000</v>
      </c>
    </row>
    <row r="61" spans="2:23" x14ac:dyDescent="0.45">
      <c r="C61" s="13" t="s">
        <v>22</v>
      </c>
      <c r="E61" s="22">
        <v>1500000</v>
      </c>
    </row>
    <row r="62" spans="2:23" x14ac:dyDescent="0.45">
      <c r="C62" s="75" t="s">
        <v>23</v>
      </c>
      <c r="E62" s="19">
        <f>SUM(E60:E61)</f>
        <v>21000000</v>
      </c>
    </row>
    <row r="63" spans="2:23" x14ac:dyDescent="0.45">
      <c r="B63" s="73">
        <v>4</v>
      </c>
      <c r="C63" t="s">
        <v>83</v>
      </c>
    </row>
    <row r="64" spans="2:23" x14ac:dyDescent="0.45">
      <c r="C64" s="13" t="s">
        <v>19</v>
      </c>
      <c r="D64" s="1"/>
      <c r="E64" s="5">
        <f>+E62*6%</f>
        <v>1260000</v>
      </c>
    </row>
    <row r="65" spans="2:14" x14ac:dyDescent="0.45">
      <c r="C65" s="13" t="s">
        <v>121</v>
      </c>
      <c r="E65" s="5">
        <f>+E62*1.42%</f>
        <v>298200</v>
      </c>
    </row>
    <row r="66" spans="2:14" ht="28.5" x14ac:dyDescent="0.45">
      <c r="C66" s="13" t="s">
        <v>33</v>
      </c>
      <c r="E66" s="5">
        <f>+E62*1.58%</f>
        <v>331800.00000000006</v>
      </c>
    </row>
    <row r="67" spans="2:14" ht="28.5" x14ac:dyDescent="0.45">
      <c r="C67" s="13" t="s">
        <v>24</v>
      </c>
      <c r="E67" s="5">
        <v>7000000</v>
      </c>
    </row>
    <row r="68" spans="2:14" x14ac:dyDescent="0.45">
      <c r="C68" s="13" t="s">
        <v>21</v>
      </c>
      <c r="E68" s="5">
        <f>+E62*18%</f>
        <v>3780000</v>
      </c>
    </row>
    <row r="69" spans="2:14" x14ac:dyDescent="0.45">
      <c r="C69" s="13" t="s">
        <v>122</v>
      </c>
      <c r="E69" s="5">
        <v>1000000</v>
      </c>
    </row>
    <row r="70" spans="2:14" ht="14.65" thickBot="1" x14ac:dyDescent="0.5">
      <c r="C70" s="75" t="s">
        <v>62</v>
      </c>
      <c r="E70" s="34">
        <f>SUM(E64:E69)</f>
        <v>13670000</v>
      </c>
    </row>
    <row r="71" spans="2:14" ht="14.65" thickTop="1" x14ac:dyDescent="0.45">
      <c r="B71" s="73">
        <v>5</v>
      </c>
      <c r="C71" t="s">
        <v>84</v>
      </c>
    </row>
    <row r="72" spans="2:14" ht="18" customHeight="1" x14ac:dyDescent="0.45">
      <c r="C72" s="13" t="s">
        <v>37</v>
      </c>
      <c r="E72" s="6">
        <v>500000</v>
      </c>
    </row>
    <row r="73" spans="2:14" x14ac:dyDescent="0.45">
      <c r="C73" s="13" t="s">
        <v>38</v>
      </c>
      <c r="D73" s="1"/>
      <c r="E73" s="5">
        <v>120000</v>
      </c>
      <c r="F73" s="1"/>
    </row>
    <row r="74" spans="2:14" ht="16.5" customHeight="1" x14ac:dyDescent="0.45">
      <c r="C74" s="13" t="s">
        <v>35</v>
      </c>
      <c r="E74" s="5">
        <v>150000</v>
      </c>
    </row>
    <row r="75" spans="2:14" x14ac:dyDescent="0.45">
      <c r="C75" s="13" t="s">
        <v>16</v>
      </c>
      <c r="E75" s="5">
        <v>225000</v>
      </c>
    </row>
    <row r="76" spans="2:14" ht="28.5" x14ac:dyDescent="0.45">
      <c r="C76" s="13" t="s">
        <v>36</v>
      </c>
      <c r="E76" s="5">
        <v>300000</v>
      </c>
    </row>
    <row r="77" spans="2:14" x14ac:dyDescent="0.45">
      <c r="B77" s="73">
        <v>6</v>
      </c>
      <c r="C77" t="s">
        <v>85</v>
      </c>
      <c r="I77" s="6">
        <v>6000000</v>
      </c>
    </row>
    <row r="78" spans="2:14" ht="31.5" customHeight="1" x14ac:dyDescent="0.45">
      <c r="B78" s="73">
        <v>7</v>
      </c>
      <c r="C78" s="115" t="s">
        <v>86</v>
      </c>
      <c r="D78" s="115"/>
      <c r="E78" s="115"/>
      <c r="F78" s="115"/>
      <c r="G78" s="115"/>
      <c r="H78" s="115"/>
      <c r="I78" s="115"/>
      <c r="J78" s="2"/>
      <c r="K78" s="2"/>
      <c r="L78" s="2"/>
      <c r="M78" s="2"/>
      <c r="N78" s="2"/>
    </row>
    <row r="79" spans="2:14" x14ac:dyDescent="0.45">
      <c r="C79" s="60" t="s">
        <v>25</v>
      </c>
      <c r="E79" s="4">
        <v>58000</v>
      </c>
    </row>
    <row r="80" spans="2:14" x14ac:dyDescent="0.45">
      <c r="C80" s="60" t="s">
        <v>22</v>
      </c>
      <c r="E80" s="5">
        <v>8000</v>
      </c>
    </row>
    <row r="81" spans="2:9" x14ac:dyDescent="0.45">
      <c r="C81" s="76" t="s">
        <v>87</v>
      </c>
      <c r="E81" s="36">
        <f>SUM(E79:E80)</f>
        <v>66000</v>
      </c>
    </row>
    <row r="82" spans="2:9" ht="28.5" customHeight="1" x14ac:dyDescent="0.45">
      <c r="B82" s="73">
        <v>8</v>
      </c>
      <c r="C82" s="115" t="s">
        <v>110</v>
      </c>
      <c r="D82" s="115"/>
      <c r="E82" s="115"/>
      <c r="F82" s="115"/>
      <c r="G82" s="115"/>
      <c r="I82" s="6">
        <v>2500</v>
      </c>
    </row>
    <row r="83" spans="2:9" x14ac:dyDescent="0.45">
      <c r="B83" s="73">
        <v>9</v>
      </c>
      <c r="C83" t="s">
        <v>102</v>
      </c>
      <c r="G83" s="23">
        <v>0.5</v>
      </c>
    </row>
  </sheetData>
  <mergeCells count="8">
    <mergeCell ref="C82:G82"/>
    <mergeCell ref="C78:I78"/>
    <mergeCell ref="B16:O16"/>
    <mergeCell ref="B18:O18"/>
    <mergeCell ref="G39:W39"/>
    <mergeCell ref="B29:O29"/>
    <mergeCell ref="B37:O37"/>
    <mergeCell ref="B21:G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
  <sheetViews>
    <sheetView zoomScale="85" zoomScaleNormal="85" workbookViewId="0">
      <selection sqref="A1:XFD1048576"/>
    </sheetView>
  </sheetViews>
  <sheetFormatPr defaultRowHeight="14.25" x14ac:dyDescent="0.45"/>
  <cols>
    <col min="1" max="1" width="18.53125" style="2" customWidth="1"/>
    <col min="2" max="2" width="1.73046875" customWidth="1"/>
    <col min="3" max="3" width="21.53125" style="1" customWidth="1"/>
    <col min="4" max="4" width="1.265625" customWidth="1"/>
    <col min="5" max="5" width="12.265625" bestFit="1" customWidth="1"/>
    <col min="6" max="6" width="1.265625" customWidth="1"/>
    <col min="7" max="7" width="13.796875" bestFit="1" customWidth="1"/>
    <col min="8" max="8" width="1.19921875" customWidth="1"/>
    <col min="9" max="9" width="13.796875" bestFit="1" customWidth="1"/>
    <col min="10" max="10" width="1.19921875" customWidth="1"/>
    <col min="11" max="11" width="13.73046875" bestFit="1" customWidth="1"/>
    <col min="12" max="12" width="1.265625" customWidth="1"/>
    <col min="13" max="13" width="14.73046875" customWidth="1"/>
    <col min="14" max="14" width="1.46484375" customWidth="1"/>
    <col min="15" max="15" width="15.53125" customWidth="1"/>
    <col min="16" max="16" width="1.19921875" customWidth="1"/>
    <col min="17" max="17" width="15.53125" customWidth="1"/>
    <col min="18" max="18" width="1.19921875" customWidth="1"/>
    <col min="19" max="19" width="15.53125" customWidth="1"/>
    <col min="20" max="20" width="1.19921875" customWidth="1"/>
    <col min="21" max="21" width="15.53125" customWidth="1"/>
    <col min="22" max="22" width="1.46484375" customWidth="1"/>
    <col min="23" max="23" width="13" customWidth="1"/>
    <col min="24" max="24" width="1.265625" customWidth="1"/>
    <col min="25" max="25" width="10.265625" bestFit="1" customWidth="1"/>
  </cols>
  <sheetData>
    <row r="1" spans="1:28" x14ac:dyDescent="0.45">
      <c r="A1" s="113" t="s">
        <v>112</v>
      </c>
    </row>
    <row r="2" spans="1:28" s="113" customFormat="1" x14ac:dyDescent="0.45"/>
    <row r="3" spans="1:28" x14ac:dyDescent="0.45">
      <c r="A3" s="115" t="s">
        <v>95</v>
      </c>
      <c r="B3" s="115"/>
      <c r="C3" s="115"/>
      <c r="D3" s="115"/>
      <c r="E3" s="115"/>
      <c r="F3" s="115"/>
      <c r="G3" s="115"/>
      <c r="H3" s="115"/>
      <c r="I3" s="115"/>
      <c r="J3" s="115"/>
      <c r="K3" s="115"/>
      <c r="L3" s="115"/>
      <c r="M3" s="115"/>
      <c r="N3" s="115"/>
      <c r="O3" s="115"/>
      <c r="P3" s="115"/>
      <c r="Q3" s="115"/>
      <c r="R3" s="115"/>
      <c r="S3" s="115"/>
      <c r="U3" s="45"/>
      <c r="W3" s="45"/>
    </row>
    <row r="4" spans="1:28" ht="14.25" customHeight="1" x14ac:dyDescent="0.45">
      <c r="A4" s="120" t="s">
        <v>6</v>
      </c>
      <c r="B4" s="120"/>
      <c r="C4" s="120"/>
      <c r="D4" s="120"/>
      <c r="E4" s="120"/>
      <c r="F4" s="121"/>
      <c r="G4" s="120"/>
      <c r="H4" s="120"/>
      <c r="I4" s="120"/>
      <c r="J4" s="120"/>
      <c r="K4" s="120"/>
      <c r="L4" s="120"/>
      <c r="M4" s="120"/>
      <c r="N4" s="120"/>
      <c r="O4" s="120"/>
      <c r="P4" s="120"/>
      <c r="Q4" s="120"/>
      <c r="R4" s="120"/>
      <c r="S4" s="120"/>
      <c r="T4" s="120"/>
      <c r="U4" s="120"/>
      <c r="V4" s="120"/>
      <c r="W4" s="120"/>
    </row>
    <row r="5" spans="1:28" ht="14.25" customHeight="1" x14ac:dyDescent="0.45">
      <c r="A5" s="12"/>
      <c r="B5" s="12"/>
      <c r="C5" s="117" t="s">
        <v>0</v>
      </c>
      <c r="D5" s="117"/>
      <c r="E5" s="117"/>
      <c r="F5" s="12"/>
      <c r="G5" s="117" t="s">
        <v>14</v>
      </c>
      <c r="H5" s="119"/>
      <c r="I5" s="117"/>
      <c r="J5" s="117"/>
      <c r="K5" s="117"/>
      <c r="L5" s="117"/>
      <c r="M5" s="117"/>
      <c r="N5" s="117"/>
      <c r="O5" s="117"/>
      <c r="P5" s="119"/>
      <c r="Q5" s="117"/>
      <c r="R5" s="117"/>
      <c r="S5" s="117"/>
      <c r="T5" s="117"/>
      <c r="U5" s="117"/>
      <c r="V5" s="117"/>
      <c r="W5" s="117"/>
    </row>
    <row r="6" spans="1:28" s="3" customFormat="1" ht="28.5" x14ac:dyDescent="0.45">
      <c r="A6" s="2"/>
      <c r="C6" s="9"/>
      <c r="E6" s="9" t="s">
        <v>4</v>
      </c>
      <c r="F6" s="9"/>
      <c r="G6" s="9" t="s">
        <v>10</v>
      </c>
      <c r="H6" s="9"/>
      <c r="I6" s="9" t="s">
        <v>11</v>
      </c>
      <c r="J6" s="9"/>
      <c r="K6" s="9" t="s">
        <v>12</v>
      </c>
      <c r="L6" s="9"/>
      <c r="M6" s="9" t="s">
        <v>48</v>
      </c>
      <c r="N6" s="9"/>
      <c r="O6" s="9" t="s">
        <v>8</v>
      </c>
      <c r="P6" s="9"/>
      <c r="Q6" s="9" t="s">
        <v>9</v>
      </c>
      <c r="R6" s="9"/>
      <c r="S6" s="9" t="s">
        <v>3</v>
      </c>
      <c r="T6" s="9"/>
      <c r="U6" s="9" t="s">
        <v>51</v>
      </c>
      <c r="V6" s="9"/>
      <c r="W6" s="9" t="s">
        <v>49</v>
      </c>
    </row>
    <row r="7" spans="1:28" x14ac:dyDescent="0.45">
      <c r="C7" s="56" t="str">
        <f>'Backgrouond &amp; Assumptions'!C41</f>
        <v>FTE</v>
      </c>
      <c r="E7" s="5">
        <f>SUM(G7:W7)</f>
        <v>500</v>
      </c>
      <c r="G7" s="5">
        <f>'Backgrouond &amp; Assumptions'!G41</f>
        <v>200</v>
      </c>
      <c r="H7" s="39"/>
      <c r="I7" s="5">
        <f>'Backgrouond &amp; Assumptions'!I41</f>
        <v>150</v>
      </c>
      <c r="J7" s="5"/>
      <c r="K7" s="5">
        <f>'Backgrouond &amp; Assumptions'!K41</f>
        <v>66</v>
      </c>
      <c r="L7" s="5"/>
      <c r="M7" s="5">
        <f>'Backgrouond &amp; Assumptions'!M41</f>
        <v>28</v>
      </c>
      <c r="N7" s="5"/>
      <c r="O7" s="5">
        <f>'Backgrouond &amp; Assumptions'!O41</f>
        <v>20</v>
      </c>
      <c r="P7" s="39"/>
      <c r="Q7" s="5">
        <f>'Backgrouond &amp; Assumptions'!Q41</f>
        <v>8</v>
      </c>
      <c r="R7" s="5"/>
      <c r="S7" s="5">
        <f>'Backgrouond &amp; Assumptions'!S41</f>
        <v>6</v>
      </c>
      <c r="T7" s="5"/>
      <c r="U7" s="5">
        <f>'Backgrouond &amp; Assumptions'!U41</f>
        <v>12</v>
      </c>
      <c r="V7" s="5"/>
      <c r="W7" s="5">
        <f>'Backgrouond &amp; Assumptions'!W41</f>
        <v>10</v>
      </c>
      <c r="X7" s="5"/>
    </row>
    <row r="8" spans="1:28" s="41" customFormat="1" x14ac:dyDescent="0.45">
      <c r="A8" s="33"/>
      <c r="C8" s="42" t="str">
        <f>'Backgrouond &amp; Assumptions'!C42</f>
        <v xml:space="preserve"> %</v>
      </c>
      <c r="E8" s="43">
        <f>SUM(G8:W8)</f>
        <v>1</v>
      </c>
      <c r="G8" s="43">
        <f>'Backgrouond &amp; Assumptions'!G42</f>
        <v>0.4</v>
      </c>
      <c r="H8" s="104"/>
      <c r="I8" s="43">
        <f>'Backgrouond &amp; Assumptions'!I42</f>
        <v>0.3</v>
      </c>
      <c r="J8" s="44"/>
      <c r="K8" s="43">
        <f>'Backgrouond &amp; Assumptions'!K42</f>
        <v>0.13</v>
      </c>
      <c r="L8" s="43"/>
      <c r="M8" s="43">
        <f>'Backgrouond &amp; Assumptions'!M42</f>
        <v>0.06</v>
      </c>
      <c r="N8" s="44"/>
      <c r="O8" s="43">
        <f>'Backgrouond &amp; Assumptions'!O42</f>
        <v>0.04</v>
      </c>
      <c r="P8" s="106"/>
      <c r="Q8" s="43">
        <f>'Backgrouond &amp; Assumptions'!Q42</f>
        <v>0.02</v>
      </c>
      <c r="R8" s="43"/>
      <c r="S8" s="43">
        <f>'Backgrouond &amp; Assumptions'!S42</f>
        <v>0.01</v>
      </c>
      <c r="T8" s="43"/>
      <c r="U8" s="43">
        <f>'Backgrouond &amp; Assumptions'!U42</f>
        <v>0.02</v>
      </c>
      <c r="V8" s="44"/>
      <c r="W8" s="43">
        <f>'Backgrouond &amp; Assumptions'!W42</f>
        <v>0.02</v>
      </c>
      <c r="X8" s="44"/>
    </row>
    <row r="9" spans="1:28" ht="5.55" customHeight="1" x14ac:dyDescent="0.45">
      <c r="E9" s="5"/>
      <c r="G9" s="5"/>
      <c r="H9" s="39"/>
      <c r="I9" s="5"/>
      <c r="J9" s="5"/>
      <c r="K9" s="5"/>
      <c r="L9" s="5"/>
      <c r="M9" s="5"/>
      <c r="N9" s="5"/>
      <c r="O9" s="5"/>
      <c r="P9" s="39"/>
      <c r="Q9" s="5"/>
      <c r="R9" s="5"/>
      <c r="S9" s="5"/>
      <c r="T9" s="5"/>
      <c r="U9" s="5"/>
      <c r="V9" s="5"/>
      <c r="W9" s="5"/>
      <c r="X9" s="5"/>
    </row>
    <row r="10" spans="1:28" x14ac:dyDescent="0.45">
      <c r="C10" s="56" t="str">
        <f>'Backgrouond &amp; Assumptions'!C44</f>
        <v>Transactions</v>
      </c>
      <c r="E10" s="5">
        <f>SUM(G10:W10)</f>
        <v>120000</v>
      </c>
      <c r="G10" s="5">
        <f>'Backgrouond &amp; Assumptions'!G44</f>
        <v>25000</v>
      </c>
      <c r="H10" s="39"/>
      <c r="I10" s="5">
        <f>'Backgrouond &amp; Assumptions'!I44</f>
        <v>45000</v>
      </c>
      <c r="J10" s="5"/>
      <c r="K10" s="5">
        <f>'Backgrouond &amp; Assumptions'!K44</f>
        <v>20600</v>
      </c>
      <c r="L10" s="5"/>
      <c r="M10" s="5">
        <f>'Backgrouond &amp; Assumptions'!M44</f>
        <v>15000</v>
      </c>
      <c r="N10" s="5"/>
      <c r="O10" s="5">
        <f>'Backgrouond &amp; Assumptions'!O44</f>
        <v>1000</v>
      </c>
      <c r="P10" s="39"/>
      <c r="Q10" s="5">
        <f>'Backgrouond &amp; Assumptions'!Q44</f>
        <v>0</v>
      </c>
      <c r="R10" s="5"/>
      <c r="S10" s="5">
        <f>'Backgrouond &amp; Assumptions'!S44</f>
        <v>2250</v>
      </c>
      <c r="T10" s="5"/>
      <c r="U10" s="5">
        <f>'Backgrouond &amp; Assumptions'!U44</f>
        <v>2150</v>
      </c>
      <c r="V10" s="5"/>
      <c r="W10" s="5">
        <f>'Backgrouond &amp; Assumptions'!W44</f>
        <v>9000</v>
      </c>
      <c r="X10" s="5"/>
    </row>
    <row r="11" spans="1:28" s="41" customFormat="1" x14ac:dyDescent="0.45">
      <c r="A11" s="33"/>
      <c r="C11" s="42" t="str">
        <f>'Backgrouond &amp; Assumptions'!C45</f>
        <v>%</v>
      </c>
      <c r="E11" s="43">
        <f>SUM(G11:W11)</f>
        <v>1</v>
      </c>
      <c r="G11" s="43">
        <f>'Backgrouond &amp; Assumptions'!G45</f>
        <v>0.21</v>
      </c>
      <c r="H11" s="104"/>
      <c r="I11" s="43">
        <f>'Backgrouond &amp; Assumptions'!I45</f>
        <v>0.37</v>
      </c>
      <c r="J11" s="44"/>
      <c r="K11" s="43">
        <f>'Backgrouond &amp; Assumptions'!K45</f>
        <v>0.17</v>
      </c>
      <c r="L11" s="43"/>
      <c r="M11" s="43">
        <f>'Backgrouond &amp; Assumptions'!M45</f>
        <v>0.12000000000000001</v>
      </c>
      <c r="N11" s="44"/>
      <c r="O11" s="43">
        <f>'Backgrouond &amp; Assumptions'!O45</f>
        <v>0.01</v>
      </c>
      <c r="P11" s="106"/>
      <c r="Q11" s="43">
        <f>'Backgrouond &amp; Assumptions'!Q45</f>
        <v>0</v>
      </c>
      <c r="R11" s="43"/>
      <c r="S11" s="43">
        <f>'Backgrouond &amp; Assumptions'!S45</f>
        <v>0.02</v>
      </c>
      <c r="T11" s="43"/>
      <c r="U11" s="43">
        <f>'Backgrouond &amp; Assumptions'!U45</f>
        <v>0.02</v>
      </c>
      <c r="V11" s="44"/>
      <c r="W11" s="43">
        <f>'Backgrouond &amp; Assumptions'!W45</f>
        <v>0.08</v>
      </c>
      <c r="X11" s="44"/>
    </row>
    <row r="12" spans="1:28" ht="5.55" customHeight="1" x14ac:dyDescent="0.45">
      <c r="E12" s="5"/>
      <c r="G12" s="5"/>
      <c r="H12" s="39"/>
      <c r="I12" s="5"/>
      <c r="J12" s="5"/>
      <c r="K12" s="5"/>
      <c r="L12" s="5"/>
      <c r="M12" s="5"/>
      <c r="N12" s="5"/>
      <c r="O12" s="5"/>
      <c r="P12" s="39"/>
      <c r="Q12" s="5"/>
      <c r="R12" s="5"/>
      <c r="S12" s="5"/>
      <c r="T12" s="5"/>
      <c r="U12" s="5"/>
      <c r="V12" s="5"/>
      <c r="W12" s="5"/>
      <c r="X12" s="5"/>
    </row>
    <row r="13" spans="1:28" x14ac:dyDescent="0.45">
      <c r="A13" s="48"/>
      <c r="C13" s="79" t="str">
        <f>'Backgrouond &amp; Assumptions'!C47</f>
        <v>Final Actual Spending</v>
      </c>
      <c r="E13" s="5">
        <f>SUM(G13:W13)</f>
        <v>30000000</v>
      </c>
      <c r="G13" s="5">
        <f>'Backgrouond &amp; Assumptions'!G47</f>
        <v>15000000</v>
      </c>
      <c r="H13" s="39"/>
      <c r="I13" s="5">
        <f>'Backgrouond &amp; Assumptions'!I47</f>
        <v>8000000</v>
      </c>
      <c r="J13" s="5"/>
      <c r="K13" s="5">
        <f>'Backgrouond &amp; Assumptions'!K47</f>
        <v>3000000</v>
      </c>
      <c r="L13" s="5"/>
      <c r="M13" s="5">
        <f>'Backgrouond &amp; Assumptions'!M47</f>
        <v>1000000</v>
      </c>
      <c r="N13" s="5"/>
      <c r="O13" s="5">
        <f>'Backgrouond &amp; Assumptions'!O47</f>
        <v>400000</v>
      </c>
      <c r="P13" s="39"/>
      <c r="Q13" s="5">
        <f>'Backgrouond &amp; Assumptions'!Q47</f>
        <v>300000</v>
      </c>
      <c r="R13" s="5"/>
      <c r="S13" s="5">
        <f>'Backgrouond &amp; Assumptions'!S47</f>
        <v>200000</v>
      </c>
      <c r="T13" s="5"/>
      <c r="U13" s="5">
        <f>'Backgrouond &amp; Assumptions'!U47</f>
        <v>800000</v>
      </c>
      <c r="V13" s="5"/>
      <c r="W13" s="5">
        <f>'Backgrouond &amp; Assumptions'!W47</f>
        <v>1300000</v>
      </c>
      <c r="AB13" s="16"/>
    </row>
    <row r="14" spans="1:28" s="41" customFormat="1" x14ac:dyDescent="0.45">
      <c r="A14" s="33"/>
      <c r="C14" s="42" t="str">
        <f>'Backgrouond &amp; Assumptions'!C48</f>
        <v>%</v>
      </c>
      <c r="E14" s="43">
        <f>SUM(G14:W14)</f>
        <v>1</v>
      </c>
      <c r="G14" s="43">
        <f>'Backgrouond &amp; Assumptions'!G48</f>
        <v>0.5</v>
      </c>
      <c r="H14" s="104"/>
      <c r="I14" s="43">
        <f>'Backgrouond &amp; Assumptions'!I48</f>
        <v>0.27</v>
      </c>
      <c r="J14" s="44"/>
      <c r="K14" s="43">
        <f>'Backgrouond &amp; Assumptions'!K48</f>
        <v>0.1</v>
      </c>
      <c r="L14" s="43"/>
      <c r="M14" s="43">
        <f>'Backgrouond &amp; Assumptions'!M48</f>
        <v>0.03</v>
      </c>
      <c r="N14" s="44"/>
      <c r="O14" s="43">
        <f>'Backgrouond &amp; Assumptions'!O48</f>
        <v>0.01</v>
      </c>
      <c r="P14" s="106"/>
      <c r="Q14" s="43">
        <f>'Backgrouond &amp; Assumptions'!Q48</f>
        <v>0.01</v>
      </c>
      <c r="R14" s="43"/>
      <c r="S14" s="43">
        <f>'Backgrouond &amp; Assumptions'!S48</f>
        <v>0.01</v>
      </c>
      <c r="T14" s="43"/>
      <c r="U14" s="43">
        <f>'Backgrouond &amp; Assumptions'!U48</f>
        <v>0.03</v>
      </c>
      <c r="V14" s="44"/>
      <c r="W14" s="43">
        <f>'Backgrouond &amp; Assumptions'!W48</f>
        <v>0.04</v>
      </c>
    </row>
    <row r="15" spans="1:28" ht="5.55" customHeight="1" x14ac:dyDescent="0.45">
      <c r="E15" s="6"/>
      <c r="G15" s="4"/>
      <c r="I15" s="6"/>
      <c r="K15" s="6"/>
      <c r="L15" s="6"/>
      <c r="M15" s="6"/>
      <c r="N15" s="6"/>
      <c r="O15" s="6"/>
      <c r="P15" s="6"/>
      <c r="Q15" s="6"/>
      <c r="R15" s="6"/>
      <c r="S15" s="6"/>
      <c r="T15" s="6"/>
      <c r="U15" s="6"/>
      <c r="V15" s="6"/>
      <c r="W15" s="6"/>
    </row>
    <row r="16" spans="1:28" x14ac:dyDescent="0.45">
      <c r="C16" s="57" t="str">
        <f>'Backgrouond &amp; Assumptions'!C50</f>
        <v>Network nodes</v>
      </c>
      <c r="E16" s="5">
        <f>SUM(G16:W16)</f>
        <v>100</v>
      </c>
      <c r="G16" s="5">
        <f>'Backgrouond &amp; Assumptions'!G50</f>
        <v>30</v>
      </c>
      <c r="H16" s="39"/>
      <c r="I16" s="5">
        <f>'Backgrouond &amp; Assumptions'!I50</f>
        <v>25</v>
      </c>
      <c r="J16" s="5"/>
      <c r="K16" s="5">
        <f>'Backgrouond &amp; Assumptions'!K50</f>
        <v>20</v>
      </c>
      <c r="L16" s="5"/>
      <c r="M16" s="5">
        <f>'Backgrouond &amp; Assumptions'!M50</f>
        <v>5</v>
      </c>
      <c r="N16" s="5"/>
      <c r="O16" s="5">
        <f>'Backgrouond &amp; Assumptions'!O50</f>
        <v>2</v>
      </c>
      <c r="P16" s="39"/>
      <c r="Q16" s="5">
        <f>'Backgrouond &amp; Assumptions'!Q50</f>
        <v>3</v>
      </c>
      <c r="R16" s="5"/>
      <c r="S16" s="5">
        <f>'Backgrouond &amp; Assumptions'!S50</f>
        <v>2</v>
      </c>
      <c r="T16" s="5"/>
      <c r="U16" s="5">
        <f>'Backgrouond &amp; Assumptions'!U50</f>
        <v>5</v>
      </c>
      <c r="V16" s="5"/>
      <c r="W16" s="5">
        <f>'Backgrouond &amp; Assumptions'!W50</f>
        <v>8</v>
      </c>
      <c r="X16" s="5"/>
    </row>
    <row r="17" spans="1:25" s="41" customFormat="1" x14ac:dyDescent="0.45">
      <c r="A17" s="33"/>
      <c r="C17" s="42" t="str">
        <f>'Backgrouond &amp; Assumptions'!C51</f>
        <v>%</v>
      </c>
      <c r="E17" s="43">
        <f>SUM(G17:W17)</f>
        <v>1.0000000000000002</v>
      </c>
      <c r="G17" s="43">
        <f>'Backgrouond &amp; Assumptions'!G51</f>
        <v>0.3</v>
      </c>
      <c r="H17" s="104"/>
      <c r="I17" s="43">
        <f>'Backgrouond &amp; Assumptions'!I51</f>
        <v>0.25</v>
      </c>
      <c r="J17" s="44"/>
      <c r="K17" s="43">
        <f>'Backgrouond &amp; Assumptions'!K51</f>
        <v>0.2</v>
      </c>
      <c r="L17" s="43"/>
      <c r="M17" s="43">
        <f>'Backgrouond &amp; Assumptions'!M51</f>
        <v>0.05</v>
      </c>
      <c r="N17" s="44"/>
      <c r="O17" s="43">
        <f>'Backgrouond &amp; Assumptions'!O51</f>
        <v>0.02</v>
      </c>
      <c r="P17" s="106"/>
      <c r="Q17" s="43">
        <f>'Backgrouond &amp; Assumptions'!Q51</f>
        <v>0.03</v>
      </c>
      <c r="R17" s="43"/>
      <c r="S17" s="43">
        <f>'Backgrouond &amp; Assumptions'!S51</f>
        <v>0.02</v>
      </c>
      <c r="T17" s="43"/>
      <c r="U17" s="43">
        <f>'Backgrouond &amp; Assumptions'!U51</f>
        <v>0.05</v>
      </c>
      <c r="V17" s="44"/>
      <c r="W17" s="43">
        <f>'Backgrouond &amp; Assumptions'!W51</f>
        <v>0.08</v>
      </c>
      <c r="X17" s="44"/>
    </row>
    <row r="18" spans="1:25" ht="5.55" customHeight="1" x14ac:dyDescent="0.45">
      <c r="C18" s="7"/>
      <c r="E18" s="5"/>
      <c r="G18" s="5"/>
      <c r="H18" s="39"/>
      <c r="I18" s="5"/>
      <c r="J18" s="5"/>
      <c r="K18" s="5"/>
      <c r="L18" s="5"/>
      <c r="M18" s="5"/>
      <c r="N18" s="5"/>
      <c r="O18" s="5"/>
      <c r="P18" s="39"/>
      <c r="Q18" s="5"/>
      <c r="R18" s="5"/>
      <c r="S18" s="5"/>
      <c r="T18" s="5"/>
      <c r="U18" s="5"/>
      <c r="V18" s="5"/>
      <c r="W18" s="5"/>
      <c r="X18" s="5"/>
    </row>
    <row r="19" spans="1:25" x14ac:dyDescent="0.45">
      <c r="C19" s="57" t="str">
        <f>'Backgrouond &amp; Assumptions'!C53</f>
        <v>Legal services hours</v>
      </c>
      <c r="E19" s="5">
        <f>SUM(G19:W19)</f>
        <v>35850</v>
      </c>
      <c r="G19" s="5">
        <f>'Backgrouond &amp; Assumptions'!G53</f>
        <v>8000</v>
      </c>
      <c r="H19" s="39"/>
      <c r="I19" s="5">
        <f>'Backgrouond &amp; Assumptions'!I53</f>
        <v>5000</v>
      </c>
      <c r="J19" s="5"/>
      <c r="K19" s="5">
        <f>'Backgrouond &amp; Assumptions'!K53</f>
        <v>1100</v>
      </c>
      <c r="L19" s="5"/>
      <c r="M19" s="5">
        <f>'Backgrouond &amp; Assumptions'!M53</f>
        <v>15500</v>
      </c>
      <c r="N19" s="5"/>
      <c r="O19" s="5">
        <f>'Backgrouond &amp; Assumptions'!O53</f>
        <v>3000</v>
      </c>
      <c r="P19" s="39"/>
      <c r="Q19" s="5">
        <f>'Backgrouond &amp; Assumptions'!Q53</f>
        <v>500</v>
      </c>
      <c r="R19" s="5"/>
      <c r="S19" s="5">
        <f>'Backgrouond &amp; Assumptions'!S53</f>
        <v>750</v>
      </c>
      <c r="T19" s="5"/>
      <c r="U19" s="5">
        <f>'Backgrouond &amp; Assumptions'!U53</f>
        <v>2000</v>
      </c>
      <c r="V19" s="5"/>
      <c r="W19" s="5">
        <f>'Backgrouond &amp; Assumptions'!W53</f>
        <v>0</v>
      </c>
      <c r="X19" s="5"/>
    </row>
    <row r="20" spans="1:25" s="41" customFormat="1" x14ac:dyDescent="0.45">
      <c r="A20" s="33"/>
      <c r="C20" s="42" t="str">
        <f>'Backgrouond &amp; Assumptions'!C54</f>
        <v>%</v>
      </c>
      <c r="E20" s="43">
        <f>SUM(G20:W20)</f>
        <v>1</v>
      </c>
      <c r="G20" s="43">
        <f>'Backgrouond &amp; Assumptions'!G54</f>
        <v>0.22</v>
      </c>
      <c r="H20" s="104"/>
      <c r="I20" s="43">
        <f>'Backgrouond &amp; Assumptions'!I54</f>
        <v>0.14000000000000001</v>
      </c>
      <c r="J20" s="44"/>
      <c r="K20" s="43">
        <f>'Backgrouond &amp; Assumptions'!K54</f>
        <v>0.03</v>
      </c>
      <c r="L20" s="43"/>
      <c r="M20" s="43">
        <f>'Backgrouond &amp; Assumptions'!M54</f>
        <v>0.43</v>
      </c>
      <c r="N20" s="44"/>
      <c r="O20" s="43">
        <f>'Backgrouond &amp; Assumptions'!O54</f>
        <v>0.08</v>
      </c>
      <c r="P20" s="106"/>
      <c r="Q20" s="43">
        <f>'Backgrouond &amp; Assumptions'!Q54</f>
        <v>0.02</v>
      </c>
      <c r="R20" s="43"/>
      <c r="S20" s="43">
        <f>'Backgrouond &amp; Assumptions'!S54</f>
        <v>0.02</v>
      </c>
      <c r="T20" s="43"/>
      <c r="U20" s="43">
        <f>'Backgrouond &amp; Assumptions'!U54</f>
        <v>0.06</v>
      </c>
      <c r="V20" s="44"/>
      <c r="W20" s="43">
        <f>'Backgrouond &amp; Assumptions'!W54</f>
        <v>0</v>
      </c>
      <c r="X20" s="44"/>
    </row>
    <row r="21" spans="1:25" ht="5.55" customHeight="1" x14ac:dyDescent="0.45">
      <c r="E21" s="5"/>
      <c r="G21" s="5"/>
      <c r="H21" s="39"/>
      <c r="I21" s="5"/>
      <c r="J21" s="5"/>
      <c r="K21" s="5"/>
      <c r="L21" s="5"/>
      <c r="M21" s="5"/>
      <c r="N21" s="5"/>
      <c r="O21" s="5"/>
      <c r="P21" s="39"/>
      <c r="Q21" s="5"/>
      <c r="R21" s="5"/>
      <c r="S21" s="5"/>
      <c r="T21" s="5"/>
      <c r="U21" s="5"/>
      <c r="V21" s="5"/>
      <c r="W21" s="5"/>
      <c r="X21" s="5"/>
    </row>
    <row r="22" spans="1:25" ht="15" customHeight="1" x14ac:dyDescent="0.45">
      <c r="E22" s="5"/>
      <c r="G22" s="5"/>
      <c r="H22" s="39"/>
      <c r="I22" s="5"/>
      <c r="J22" s="5"/>
      <c r="K22" s="5"/>
      <c r="L22" s="5"/>
      <c r="M22" s="5"/>
      <c r="N22" s="5"/>
      <c r="O22" s="5"/>
      <c r="P22" s="39"/>
      <c r="Q22" s="5"/>
      <c r="R22" s="5"/>
      <c r="S22" s="5"/>
      <c r="T22" s="5"/>
      <c r="U22" s="5"/>
      <c r="V22" s="5"/>
      <c r="W22" s="5"/>
      <c r="X22" s="5"/>
    </row>
    <row r="23" spans="1:25" s="83" customFormat="1" x14ac:dyDescent="0.45">
      <c r="A23" s="80" t="s">
        <v>55</v>
      </c>
      <c r="B23" s="81"/>
      <c r="C23" s="82"/>
    </row>
    <row r="24" spans="1:25" s="83" customFormat="1" x14ac:dyDescent="0.45">
      <c r="A24" s="84" t="s">
        <v>28</v>
      </c>
      <c r="C24" s="82" t="s">
        <v>89</v>
      </c>
      <c r="E24" s="85">
        <f>+M13</f>
        <v>1000000</v>
      </c>
      <c r="G24" s="86">
        <f>+$E24*G14</f>
        <v>500000</v>
      </c>
      <c r="I24" s="86">
        <f>+$E24*I14</f>
        <v>270000</v>
      </c>
      <c r="K24" s="86">
        <f>+$E24*K14</f>
        <v>100000</v>
      </c>
      <c r="L24" s="86"/>
      <c r="M24" s="86">
        <f>+$E24*M14</f>
        <v>30000</v>
      </c>
      <c r="N24" s="86"/>
      <c r="O24" s="86">
        <f>+$E24*O14</f>
        <v>10000</v>
      </c>
      <c r="P24" s="107"/>
      <c r="Q24" s="86">
        <f>+$E24*Q14</f>
        <v>10000</v>
      </c>
      <c r="R24" s="86"/>
      <c r="S24" s="86">
        <f>+$E24*S14</f>
        <v>10000</v>
      </c>
      <c r="T24" s="86"/>
      <c r="U24" s="86">
        <f>+$E24*U14</f>
        <v>30000</v>
      </c>
      <c r="V24" s="86"/>
      <c r="W24" s="86">
        <f>+$E24*W14</f>
        <v>40000</v>
      </c>
      <c r="Y24" s="85"/>
    </row>
    <row r="25" spans="1:25" s="83" customFormat="1" x14ac:dyDescent="0.45">
      <c r="A25" s="87" t="s">
        <v>8</v>
      </c>
      <c r="C25" s="82" t="s">
        <v>1</v>
      </c>
      <c r="E25" s="88">
        <f>+O13</f>
        <v>400000</v>
      </c>
      <c r="G25" s="88">
        <f>+$E25*G8</f>
        <v>160000</v>
      </c>
      <c r="H25" s="105"/>
      <c r="I25" s="88">
        <f>+$E25*I8</f>
        <v>120000</v>
      </c>
      <c r="J25" s="88"/>
      <c r="K25" s="88">
        <f>+$E25*K8</f>
        <v>52000</v>
      </c>
      <c r="L25" s="88"/>
      <c r="M25" s="88">
        <f>+$E25*M8</f>
        <v>24000</v>
      </c>
      <c r="N25" s="88"/>
      <c r="O25" s="88">
        <f>+$E25*O8</f>
        <v>16000</v>
      </c>
      <c r="P25" s="105"/>
      <c r="Q25" s="88">
        <f>+$E25*Q8</f>
        <v>8000</v>
      </c>
      <c r="R25" s="88"/>
      <c r="S25" s="88">
        <f>+$E25*S8</f>
        <v>4000</v>
      </c>
      <c r="T25" s="88"/>
      <c r="U25" s="88">
        <f>+$E25*U8</f>
        <v>8000</v>
      </c>
      <c r="V25" s="88"/>
      <c r="W25" s="88">
        <f>+$E25*W8</f>
        <v>8000</v>
      </c>
      <c r="Y25" s="85"/>
    </row>
    <row r="26" spans="1:25" s="82" customFormat="1" x14ac:dyDescent="0.45">
      <c r="A26" s="87" t="s">
        <v>9</v>
      </c>
      <c r="C26" s="82" t="s">
        <v>5</v>
      </c>
      <c r="E26" s="88">
        <f>+Q13</f>
        <v>300000</v>
      </c>
      <c r="F26" s="83"/>
      <c r="G26" s="88">
        <f>+$E26*G11</f>
        <v>63000</v>
      </c>
      <c r="H26" s="105"/>
      <c r="I26" s="88">
        <f>+$E26*I11</f>
        <v>111000</v>
      </c>
      <c r="J26" s="88"/>
      <c r="K26" s="88">
        <f>+$E26*K11</f>
        <v>51000.000000000007</v>
      </c>
      <c r="L26" s="88"/>
      <c r="M26" s="88">
        <f>+$E26*M11</f>
        <v>36000</v>
      </c>
      <c r="N26" s="88"/>
      <c r="O26" s="88">
        <f>+$E26*O11</f>
        <v>3000</v>
      </c>
      <c r="P26" s="105"/>
      <c r="Q26" s="88">
        <f>+$E26*Q11</f>
        <v>0</v>
      </c>
      <c r="R26" s="88"/>
      <c r="S26" s="88">
        <f>+$E26*S11</f>
        <v>6000</v>
      </c>
      <c r="T26" s="88"/>
      <c r="U26" s="88">
        <f>+$E26*U11</f>
        <v>6000</v>
      </c>
      <c r="V26" s="88"/>
      <c r="W26" s="88">
        <f>+$E26*W11</f>
        <v>24000</v>
      </c>
      <c r="Y26" s="85"/>
    </row>
    <row r="27" spans="1:25" s="83" customFormat="1" x14ac:dyDescent="0.45">
      <c r="A27" s="87" t="s">
        <v>90</v>
      </c>
      <c r="C27" s="82" t="s">
        <v>89</v>
      </c>
      <c r="E27" s="88">
        <f>+S13</f>
        <v>200000</v>
      </c>
      <c r="G27" s="88">
        <f>+$E$27*G14</f>
        <v>100000</v>
      </c>
      <c r="H27" s="105"/>
      <c r="I27" s="88">
        <f>+$E$27*I14</f>
        <v>54000</v>
      </c>
      <c r="J27" s="88"/>
      <c r="K27" s="88">
        <f>+$E$27*K14</f>
        <v>20000</v>
      </c>
      <c r="L27" s="88"/>
      <c r="M27" s="88">
        <f>+$E$27*M14</f>
        <v>6000</v>
      </c>
      <c r="N27" s="88"/>
      <c r="O27" s="88">
        <f>+$E$27*O14</f>
        <v>2000</v>
      </c>
      <c r="P27" s="105"/>
      <c r="Q27" s="88">
        <f>+$E$27*Q14</f>
        <v>2000</v>
      </c>
      <c r="R27" s="88"/>
      <c r="S27" s="88">
        <f>+$E$27*S14</f>
        <v>2000</v>
      </c>
      <c r="T27" s="88"/>
      <c r="U27" s="88">
        <f>+$E$27*U14</f>
        <v>6000</v>
      </c>
      <c r="V27" s="88"/>
      <c r="W27" s="88">
        <f>+$E$27*W14</f>
        <v>8000</v>
      </c>
      <c r="Y27" s="85"/>
    </row>
    <row r="28" spans="1:25" s="83" customFormat="1" x14ac:dyDescent="0.45">
      <c r="A28" s="87" t="s">
        <v>30</v>
      </c>
      <c r="C28" s="82" t="s">
        <v>13</v>
      </c>
      <c r="E28" s="88">
        <f>+U13</f>
        <v>800000</v>
      </c>
      <c r="G28" s="88">
        <f>+$E$28*G17</f>
        <v>240000</v>
      </c>
      <c r="H28" s="105"/>
      <c r="I28" s="88">
        <f>+$E$28*I17</f>
        <v>200000</v>
      </c>
      <c r="J28" s="88"/>
      <c r="K28" s="88">
        <f>+$E$28*K17</f>
        <v>160000</v>
      </c>
      <c r="L28" s="88"/>
      <c r="M28" s="88">
        <f>+$E$28*M17</f>
        <v>40000</v>
      </c>
      <c r="N28" s="88"/>
      <c r="O28" s="88">
        <f>+$E$28*O17</f>
        <v>16000</v>
      </c>
      <c r="P28" s="105"/>
      <c r="Q28" s="88">
        <f>+$E$28*Q17</f>
        <v>24000</v>
      </c>
      <c r="R28" s="88"/>
      <c r="S28" s="88">
        <f>+$E$28*S17</f>
        <v>16000</v>
      </c>
      <c r="T28" s="88"/>
      <c r="U28" s="88">
        <f>+$E$28*U17</f>
        <v>40000</v>
      </c>
      <c r="V28" s="88"/>
      <c r="W28" s="88">
        <f>+$E$28*W17</f>
        <v>64000</v>
      </c>
      <c r="Y28" s="85"/>
    </row>
    <row r="29" spans="1:25" s="83" customFormat="1" x14ac:dyDescent="0.45">
      <c r="A29" s="87" t="s">
        <v>7</v>
      </c>
      <c r="C29" s="82" t="s">
        <v>47</v>
      </c>
      <c r="E29" s="88">
        <f>+W13</f>
        <v>1300000</v>
      </c>
      <c r="G29" s="88">
        <f>+$E29*G20</f>
        <v>286000</v>
      </c>
      <c r="H29" s="105"/>
      <c r="I29" s="88">
        <f>+$E29*I20</f>
        <v>182000.00000000003</v>
      </c>
      <c r="J29" s="88"/>
      <c r="K29" s="88">
        <f>+$E29*K20</f>
        <v>39000</v>
      </c>
      <c r="L29" s="88"/>
      <c r="M29" s="88">
        <f>+$E29*M20</f>
        <v>559000</v>
      </c>
      <c r="N29" s="88"/>
      <c r="O29" s="88">
        <f>+$E29*O20</f>
        <v>104000</v>
      </c>
      <c r="P29" s="105"/>
      <c r="Q29" s="88">
        <f>+$E29*Q20</f>
        <v>26000</v>
      </c>
      <c r="R29" s="88"/>
      <c r="S29" s="88">
        <f>+$E29*S20</f>
        <v>26000</v>
      </c>
      <c r="T29" s="88"/>
      <c r="U29" s="88">
        <f>+$E29*U20</f>
        <v>78000</v>
      </c>
      <c r="V29" s="88"/>
      <c r="W29" s="88">
        <f>+$E29*W20</f>
        <v>0</v>
      </c>
      <c r="Y29" s="85"/>
    </row>
    <row r="30" spans="1:25" ht="14.65" thickBot="1" x14ac:dyDescent="0.5">
      <c r="A30" s="118" t="s">
        <v>50</v>
      </c>
      <c r="B30" s="118"/>
      <c r="C30" s="118"/>
      <c r="E30" s="10">
        <f>SUM(E24:E29)</f>
        <v>4000000</v>
      </c>
      <c r="G30" s="10">
        <f>SUM(G24:G29)</f>
        <v>1349000</v>
      </c>
      <c r="I30" s="10">
        <f>SUM(I24:I29)</f>
        <v>937000</v>
      </c>
      <c r="K30" s="10">
        <f>SUM(K24:K29)</f>
        <v>422000</v>
      </c>
      <c r="L30" s="6"/>
      <c r="M30" s="10">
        <f>SUM(M24:M29)</f>
        <v>695000</v>
      </c>
      <c r="N30" s="6"/>
      <c r="O30" s="10">
        <f>SUM(O24:O29)</f>
        <v>151000</v>
      </c>
      <c r="P30" s="6"/>
      <c r="Q30" s="10">
        <f>SUM(Q24:Q29)</f>
        <v>70000</v>
      </c>
      <c r="R30" s="6"/>
      <c r="S30" s="10">
        <f>SUM(S24:S29)</f>
        <v>64000</v>
      </c>
      <c r="T30" s="6"/>
      <c r="U30" s="10">
        <f>SUM(U24:U29)</f>
        <v>168000</v>
      </c>
      <c r="V30" s="6"/>
      <c r="W30" s="10">
        <f>SUM(W24:W29)</f>
        <v>144000</v>
      </c>
      <c r="Y30" s="46">
        <f>SUM(G30:W30)-E30</f>
        <v>0</v>
      </c>
    </row>
    <row r="31" spans="1:25" ht="14.65" thickTop="1" x14ac:dyDescent="0.45"/>
    <row r="32" spans="1:25" x14ac:dyDescent="0.45">
      <c r="C32" s="9"/>
      <c r="E32" s="11"/>
      <c r="F32" s="11"/>
      <c r="G32" s="11"/>
      <c r="H32" s="11"/>
      <c r="I32" s="11"/>
      <c r="J32" s="11"/>
      <c r="K32" s="11"/>
      <c r="L32" s="11"/>
      <c r="M32" s="11"/>
      <c r="N32" s="11"/>
      <c r="O32" s="11"/>
      <c r="P32" s="11"/>
      <c r="Q32" s="11"/>
      <c r="R32" s="11"/>
      <c r="S32" s="11"/>
      <c r="T32" s="11"/>
      <c r="U32" s="11"/>
      <c r="V32" s="11"/>
      <c r="W32" s="11"/>
    </row>
    <row r="33" spans="5:23" x14ac:dyDescent="0.45">
      <c r="E33" s="6"/>
      <c r="F33" s="6"/>
      <c r="G33" s="6"/>
      <c r="H33" s="6"/>
      <c r="I33" s="6"/>
      <c r="J33" s="6"/>
      <c r="K33" s="6"/>
      <c r="L33" s="6"/>
      <c r="M33" s="6"/>
      <c r="N33" s="6"/>
      <c r="O33" s="6"/>
      <c r="P33" s="6"/>
      <c r="Q33" s="6"/>
      <c r="R33" s="6"/>
      <c r="S33" s="6"/>
      <c r="T33" s="6"/>
      <c r="U33" s="6"/>
      <c r="V33" s="6"/>
      <c r="W33" s="6"/>
    </row>
    <row r="34" spans="5:23" x14ac:dyDescent="0.45">
      <c r="E34" s="6"/>
      <c r="F34" s="6"/>
      <c r="G34" s="6"/>
      <c r="H34" s="6"/>
      <c r="I34" s="6"/>
      <c r="J34" s="6"/>
      <c r="K34" s="6"/>
      <c r="L34" s="6"/>
      <c r="M34" s="6"/>
      <c r="N34" s="6"/>
      <c r="O34" s="6"/>
      <c r="P34" s="6"/>
      <c r="Q34" s="6"/>
      <c r="R34" s="6"/>
      <c r="S34" s="6"/>
      <c r="T34" s="6"/>
      <c r="U34" s="6"/>
      <c r="V34" s="6"/>
      <c r="W34" s="6"/>
    </row>
    <row r="35" spans="5:23" x14ac:dyDescent="0.45">
      <c r="E35" s="6"/>
      <c r="F35" s="6"/>
      <c r="G35" s="6"/>
      <c r="H35" s="6"/>
      <c r="I35" s="6"/>
      <c r="J35" s="6"/>
      <c r="K35" s="6"/>
      <c r="L35" s="6"/>
      <c r="M35" s="6"/>
      <c r="N35" s="6"/>
      <c r="O35" s="6"/>
      <c r="P35" s="6"/>
      <c r="Q35" s="6"/>
      <c r="R35" s="6"/>
      <c r="S35" s="6"/>
      <c r="T35" s="6"/>
      <c r="U35" s="6"/>
      <c r="V35" s="6"/>
      <c r="W35" s="6"/>
    </row>
    <row r="36" spans="5:23" x14ac:dyDescent="0.45">
      <c r="E36" s="6"/>
      <c r="F36" s="6"/>
      <c r="G36" s="6"/>
      <c r="H36" s="6"/>
      <c r="I36" s="6"/>
      <c r="J36" s="6"/>
      <c r="K36" s="6"/>
      <c r="L36" s="6"/>
      <c r="M36" s="6"/>
      <c r="N36" s="6"/>
      <c r="O36" s="6"/>
      <c r="P36" s="6"/>
      <c r="Q36" s="6"/>
      <c r="R36" s="6"/>
      <c r="S36" s="6"/>
      <c r="T36" s="6"/>
      <c r="U36" s="6"/>
      <c r="V36" s="6"/>
      <c r="W36" s="6"/>
    </row>
  </sheetData>
  <mergeCells count="5">
    <mergeCell ref="A30:C30"/>
    <mergeCell ref="G5:W5"/>
    <mergeCell ref="A4:W4"/>
    <mergeCell ref="A3:S3"/>
    <mergeCell ref="C5:E5"/>
  </mergeCells>
  <pageMargins left="0.7" right="0.7" top="0.75" bottom="0.75" header="0.3" footer="0.3"/>
  <pageSetup paperSize="5"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49"/>
  <sheetViews>
    <sheetView zoomScale="85" zoomScaleNormal="85" workbookViewId="0"/>
  </sheetViews>
  <sheetFormatPr defaultRowHeight="14.25" x14ac:dyDescent="0.45"/>
  <cols>
    <col min="1" max="1" width="17.53125" style="2" customWidth="1"/>
    <col min="2" max="2" width="1.73046875" customWidth="1"/>
    <col min="3" max="3" width="25.265625" style="1" customWidth="1"/>
    <col min="4" max="4" width="1.265625" customWidth="1"/>
    <col min="5" max="5" width="12.265625" bestFit="1" customWidth="1"/>
    <col min="6" max="6" width="1.265625" customWidth="1"/>
    <col min="7" max="7" width="13" bestFit="1" customWidth="1"/>
    <col min="8" max="8" width="1.19921875" customWidth="1"/>
    <col min="9" max="9" width="13.265625" customWidth="1"/>
    <col min="10" max="10" width="1.19921875" customWidth="1"/>
    <col min="11" max="11" width="13" customWidth="1"/>
    <col min="12" max="12" width="1.265625" customWidth="1"/>
    <col min="13" max="13" width="13.796875" customWidth="1"/>
    <col min="14" max="14" width="5.265625" customWidth="1"/>
    <col min="15" max="15" width="14.73046875" customWidth="1"/>
    <col min="16" max="16" width="1.46484375" customWidth="1"/>
    <col min="17" max="17" width="10.73046875" customWidth="1"/>
    <col min="18" max="18" width="1.265625" customWidth="1"/>
    <col min="19" max="19" width="11" bestFit="1" customWidth="1"/>
    <col min="20" max="20" width="1.19921875" customWidth="1"/>
    <col min="21" max="21" width="9.46484375" bestFit="1" customWidth="1"/>
    <col min="22" max="22" width="1.19921875" customWidth="1"/>
    <col min="23" max="23" width="9.46484375" bestFit="1" customWidth="1"/>
    <col min="24" max="24" width="1.46484375" customWidth="1"/>
    <col min="25" max="25" width="12.19921875" bestFit="1" customWidth="1"/>
    <col min="26" max="26" width="1.265625" customWidth="1"/>
    <col min="27" max="27" width="14" bestFit="1" customWidth="1"/>
    <col min="28" max="28" width="1.46484375" customWidth="1"/>
  </cols>
  <sheetData>
    <row r="1" spans="1:30" x14ac:dyDescent="0.45">
      <c r="A1" s="113" t="s">
        <v>112</v>
      </c>
    </row>
    <row r="3" spans="1:30" ht="15" customHeight="1" x14ac:dyDescent="0.45">
      <c r="A3" s="122" t="s">
        <v>108</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30" ht="14.25" customHeight="1" x14ac:dyDescent="0.45">
      <c r="A4" s="124" t="s">
        <v>6</v>
      </c>
      <c r="B4" s="124"/>
      <c r="C4" s="124"/>
      <c r="D4" s="124"/>
      <c r="E4" s="124"/>
      <c r="F4" s="124"/>
      <c r="G4" s="124"/>
      <c r="H4" s="124"/>
      <c r="I4" s="124"/>
      <c r="J4" s="124"/>
      <c r="K4" s="124"/>
      <c r="L4" s="124"/>
      <c r="M4" s="124"/>
      <c r="N4" s="124"/>
      <c r="O4" s="124"/>
      <c r="P4" s="124"/>
      <c r="Q4" s="124"/>
      <c r="R4" s="124"/>
      <c r="S4" s="124"/>
      <c r="T4" s="124"/>
      <c r="U4" s="124"/>
      <c r="V4" s="124"/>
      <c r="W4" s="124"/>
      <c r="X4" s="124"/>
      <c r="Y4" s="124"/>
    </row>
    <row r="5" spans="1:30" ht="14.25" customHeight="1" x14ac:dyDescent="0.45">
      <c r="A5" s="12"/>
      <c r="B5" s="12"/>
      <c r="C5" s="12"/>
      <c r="D5" s="12"/>
      <c r="E5" s="12"/>
      <c r="F5" s="12"/>
      <c r="G5" s="117" t="s">
        <v>14</v>
      </c>
      <c r="H5" s="117"/>
      <c r="I5" s="117"/>
      <c r="J5" s="117"/>
      <c r="K5" s="117"/>
      <c r="L5" s="117"/>
      <c r="M5" s="117"/>
      <c r="N5" s="117"/>
      <c r="O5" s="117"/>
      <c r="P5" s="117"/>
      <c r="Q5" s="117"/>
      <c r="R5" s="117"/>
      <c r="S5" s="117"/>
      <c r="T5" s="117"/>
      <c r="U5" s="117"/>
      <c r="V5" s="117"/>
      <c r="W5" s="117"/>
      <c r="X5" s="117"/>
      <c r="Y5" s="117"/>
    </row>
    <row r="6" spans="1:30" s="3" customFormat="1" ht="28.5" x14ac:dyDescent="0.45">
      <c r="A6" s="2"/>
      <c r="C6" s="9" t="s">
        <v>0</v>
      </c>
      <c r="E6" s="9" t="s">
        <v>4</v>
      </c>
      <c r="F6" s="9"/>
      <c r="G6" s="9" t="s">
        <v>10</v>
      </c>
      <c r="H6" s="9"/>
      <c r="I6" s="9" t="s">
        <v>11</v>
      </c>
      <c r="J6" s="9"/>
      <c r="K6" s="9" t="s">
        <v>12</v>
      </c>
      <c r="L6" s="9"/>
      <c r="M6" s="89" t="s">
        <v>56</v>
      </c>
      <c r="N6" s="9"/>
      <c r="O6" s="9" t="s">
        <v>48</v>
      </c>
      <c r="P6" s="2"/>
      <c r="Q6" s="9" t="s">
        <v>8</v>
      </c>
      <c r="R6" s="9"/>
      <c r="S6" s="9" t="s">
        <v>9</v>
      </c>
      <c r="T6" s="9"/>
      <c r="U6" s="9" t="s">
        <v>3</v>
      </c>
      <c r="V6" s="9"/>
      <c r="W6" s="9" t="s">
        <v>51</v>
      </c>
      <c r="X6" s="9"/>
      <c r="Y6" s="9" t="s">
        <v>49</v>
      </c>
    </row>
    <row r="7" spans="1:30" x14ac:dyDescent="0.45">
      <c r="C7" s="56" t="str">
        <f>'Cost Allocation - Round 1'!$C$7</f>
        <v>FTE</v>
      </c>
      <c r="E7" s="5">
        <f>SUM(G7:Y7)</f>
        <v>500</v>
      </c>
      <c r="G7" s="5">
        <f>'Cost Allocation - Round 1'!G7</f>
        <v>200</v>
      </c>
      <c r="H7" s="5"/>
      <c r="I7" s="5">
        <f>'Cost Allocation - Round 1'!I7</f>
        <v>150</v>
      </c>
      <c r="J7" s="5"/>
      <c r="K7" s="5">
        <f>'Cost Allocation - Round 1'!K7</f>
        <v>66</v>
      </c>
      <c r="L7" s="5"/>
      <c r="M7" s="90"/>
      <c r="N7" s="5"/>
      <c r="O7" s="5">
        <f>'Cost Allocation - Round 1'!M7</f>
        <v>28</v>
      </c>
      <c r="P7" s="5"/>
      <c r="Q7" s="5">
        <f>'Cost Allocation - Round 1'!O7</f>
        <v>20</v>
      </c>
      <c r="R7" s="5"/>
      <c r="S7" s="5">
        <f>'Cost Allocation - Round 1'!Q7</f>
        <v>8</v>
      </c>
      <c r="T7" s="5"/>
      <c r="U7" s="5">
        <f>'Cost Allocation - Round 1'!S7</f>
        <v>6</v>
      </c>
      <c r="V7" s="5"/>
      <c r="W7" s="5">
        <f>'Cost Allocation - Round 1'!U7</f>
        <v>12</v>
      </c>
      <c r="X7" s="5"/>
      <c r="Y7" s="5">
        <f>'Cost Allocation - Round 1'!W7</f>
        <v>10</v>
      </c>
      <c r="Z7" s="5"/>
      <c r="AA7" s="46">
        <f>SUM(G7:Y7)-E7</f>
        <v>0</v>
      </c>
    </row>
    <row r="8" spans="1:30" s="41" customFormat="1" x14ac:dyDescent="0.45">
      <c r="A8" s="33"/>
      <c r="C8" s="42" t="s">
        <v>74</v>
      </c>
      <c r="E8" s="43">
        <f>SUM(G8:Y8)</f>
        <v>1</v>
      </c>
      <c r="G8" s="43">
        <f>'Cost Allocation - Round 1'!G8</f>
        <v>0.4</v>
      </c>
      <c r="H8" s="44"/>
      <c r="I8" s="43">
        <f>'Cost Allocation - Round 1'!I8</f>
        <v>0.3</v>
      </c>
      <c r="J8" s="44"/>
      <c r="K8" s="43">
        <f>'Cost Allocation - Round 1'!K8</f>
        <v>0.13</v>
      </c>
      <c r="L8" s="43"/>
      <c r="M8" s="50"/>
      <c r="N8" s="44"/>
      <c r="O8" s="43">
        <f>'Cost Allocation - Round 1'!M8</f>
        <v>0.06</v>
      </c>
      <c r="P8" s="44"/>
      <c r="Q8" s="43">
        <f>'Cost Allocation - Round 1'!O8</f>
        <v>0.04</v>
      </c>
      <c r="R8" s="43"/>
      <c r="S8" s="43">
        <f>'Cost Allocation - Round 1'!Q8</f>
        <v>0.02</v>
      </c>
      <c r="T8" s="43"/>
      <c r="U8" s="43">
        <f>'Cost Allocation - Round 1'!S8</f>
        <v>0.01</v>
      </c>
      <c r="V8" s="43"/>
      <c r="W8" s="43">
        <f>'Cost Allocation - Round 1'!U8</f>
        <v>0.02</v>
      </c>
      <c r="X8" s="44"/>
      <c r="Y8" s="43">
        <f>'Cost Allocation - Round 1'!W8</f>
        <v>0.02</v>
      </c>
      <c r="Z8" s="44"/>
      <c r="AA8" s="46">
        <f>SUM(G8:Y8)-E8</f>
        <v>0</v>
      </c>
    </row>
    <row r="9" spans="1:30" s="41" customFormat="1" x14ac:dyDescent="0.45">
      <c r="A9" s="33"/>
      <c r="C9" s="51" t="s">
        <v>75</v>
      </c>
      <c r="D9" s="52"/>
      <c r="E9" s="53">
        <f>SUM(G9:K9)</f>
        <v>1</v>
      </c>
      <c r="F9" s="52"/>
      <c r="G9" s="53">
        <f>+G7/$M9</f>
        <v>0.48076923076923078</v>
      </c>
      <c r="H9" s="50"/>
      <c r="I9" s="53">
        <f>+I7/$M9</f>
        <v>0.36057692307692307</v>
      </c>
      <c r="J9" s="50"/>
      <c r="K9" s="53">
        <f>+K7/$M9</f>
        <v>0.15865384615384615</v>
      </c>
      <c r="L9" s="53"/>
      <c r="M9" s="50">
        <f>SUM(G7:K7)</f>
        <v>416</v>
      </c>
      <c r="N9" s="44"/>
      <c r="O9" s="43"/>
      <c r="P9" s="44"/>
      <c r="Q9" s="43"/>
      <c r="R9" s="43"/>
      <c r="S9" s="43"/>
      <c r="T9" s="43"/>
      <c r="U9" s="43"/>
      <c r="V9" s="43"/>
      <c r="W9" s="43"/>
      <c r="X9" s="44"/>
      <c r="Y9" s="43"/>
      <c r="Z9" s="44"/>
    </row>
    <row r="10" spans="1:30" ht="5.55" customHeight="1" x14ac:dyDescent="0.45">
      <c r="E10" s="5"/>
      <c r="G10" s="5"/>
      <c r="H10" s="5"/>
      <c r="I10" s="5"/>
      <c r="J10" s="5"/>
      <c r="K10" s="5"/>
      <c r="L10" s="5"/>
      <c r="M10" s="90"/>
      <c r="N10" s="5"/>
      <c r="O10" s="5"/>
      <c r="P10" s="5"/>
      <c r="Q10" s="5"/>
      <c r="R10" s="5"/>
      <c r="S10" s="5"/>
      <c r="T10" s="5"/>
      <c r="U10" s="5"/>
      <c r="V10" s="5"/>
      <c r="W10" s="5"/>
      <c r="X10" s="5"/>
      <c r="Y10" s="5"/>
      <c r="Z10" s="5"/>
    </row>
    <row r="11" spans="1:30" x14ac:dyDescent="0.45">
      <c r="C11" s="56" t="str">
        <f>'Cost Allocation - Round 1'!$C$10</f>
        <v>Transactions</v>
      </c>
      <c r="E11" s="5">
        <f>SUM(G11:Y11)</f>
        <v>120000</v>
      </c>
      <c r="G11" s="5">
        <f>'Cost Allocation - Round 1'!G10</f>
        <v>25000</v>
      </c>
      <c r="H11" s="5"/>
      <c r="I11" s="5">
        <f>'Cost Allocation - Round 1'!I10</f>
        <v>45000</v>
      </c>
      <c r="J11" s="5"/>
      <c r="K11" s="5">
        <f>'Cost Allocation - Round 1'!K10</f>
        <v>20600</v>
      </c>
      <c r="L11" s="5"/>
      <c r="M11" s="90"/>
      <c r="N11" s="5"/>
      <c r="O11" s="5">
        <f>'Cost Allocation - Round 1'!M10</f>
        <v>15000</v>
      </c>
      <c r="P11" s="5"/>
      <c r="Q11" s="5">
        <f>'Cost Allocation - Round 1'!O10</f>
        <v>1000</v>
      </c>
      <c r="R11" s="5"/>
      <c r="S11" s="5">
        <f>'Cost Allocation - Round 1'!Q10</f>
        <v>0</v>
      </c>
      <c r="T11" s="5"/>
      <c r="U11" s="5">
        <f>'Cost Allocation - Round 1'!S10</f>
        <v>2250</v>
      </c>
      <c r="V11" s="5"/>
      <c r="W11" s="5">
        <f>'Cost Allocation - Round 1'!U10</f>
        <v>2150</v>
      </c>
      <c r="X11" s="5"/>
      <c r="Y11" s="5">
        <f>'Cost Allocation - Round 1'!W10</f>
        <v>9000</v>
      </c>
      <c r="Z11" s="5"/>
      <c r="AA11" s="46">
        <f>SUM(G11:Y11)-E11</f>
        <v>0</v>
      </c>
    </row>
    <row r="12" spans="1:30" s="41" customFormat="1" x14ac:dyDescent="0.45">
      <c r="A12" s="33"/>
      <c r="C12" s="42" t="s">
        <v>74</v>
      </c>
      <c r="E12" s="43">
        <f>SUM(G12:Y12)</f>
        <v>1</v>
      </c>
      <c r="G12" s="43">
        <f>'Cost Allocation - Round 1'!G11</f>
        <v>0.21</v>
      </c>
      <c r="H12" s="44"/>
      <c r="I12" s="43">
        <f>'Cost Allocation - Round 1'!I11</f>
        <v>0.37</v>
      </c>
      <c r="J12" s="44"/>
      <c r="K12" s="43">
        <f>'Cost Allocation - Round 1'!K11</f>
        <v>0.17</v>
      </c>
      <c r="L12" s="43"/>
      <c r="M12" s="50"/>
      <c r="N12" s="44"/>
      <c r="O12" s="43">
        <f>'Cost Allocation - Round 1'!M11</f>
        <v>0.12000000000000001</v>
      </c>
      <c r="P12" s="44"/>
      <c r="Q12" s="43">
        <f>'Cost Allocation - Round 1'!O11</f>
        <v>0.01</v>
      </c>
      <c r="R12" s="43"/>
      <c r="S12" s="43">
        <f>'Cost Allocation - Round 1'!Q11</f>
        <v>0</v>
      </c>
      <c r="T12" s="43"/>
      <c r="U12" s="43">
        <f>'Cost Allocation - Round 1'!S11</f>
        <v>0.02</v>
      </c>
      <c r="V12" s="43"/>
      <c r="W12" s="43">
        <f>'Cost Allocation - Round 1'!U11</f>
        <v>0.02</v>
      </c>
      <c r="X12" s="44"/>
      <c r="Y12" s="43">
        <f>'Cost Allocation - Round 1'!W11</f>
        <v>0.08</v>
      </c>
      <c r="Z12" s="44"/>
      <c r="AA12" s="46">
        <f>SUM(G12:Y12)-E12</f>
        <v>0</v>
      </c>
    </row>
    <row r="13" spans="1:30" s="41" customFormat="1" x14ac:dyDescent="0.45">
      <c r="A13" s="33"/>
      <c r="C13" s="51" t="s">
        <v>75</v>
      </c>
      <c r="D13" s="52"/>
      <c r="E13" s="53">
        <f>SUM(G13:K13)</f>
        <v>1</v>
      </c>
      <c r="F13" s="52"/>
      <c r="G13" s="53">
        <f>+G11/$M13</f>
        <v>0.27593818984547464</v>
      </c>
      <c r="H13" s="50"/>
      <c r="I13" s="53">
        <f>+I11/$M13</f>
        <v>0.49668874172185429</v>
      </c>
      <c r="J13" s="50"/>
      <c r="K13" s="53">
        <f>+K11/$M13</f>
        <v>0.22737306843267108</v>
      </c>
      <c r="L13" s="53"/>
      <c r="M13" s="50">
        <f>SUM(G11:K11)</f>
        <v>90600</v>
      </c>
      <c r="N13" s="44"/>
      <c r="O13" s="43"/>
      <c r="P13" s="44"/>
      <c r="Q13" s="43"/>
      <c r="R13" s="43"/>
      <c r="S13" s="43"/>
      <c r="T13" s="43"/>
      <c r="U13" s="43"/>
      <c r="V13" s="43"/>
      <c r="W13" s="43"/>
      <c r="X13" s="44"/>
      <c r="Y13" s="43"/>
      <c r="Z13" s="44"/>
    </row>
    <row r="14" spans="1:30" ht="5.55" customHeight="1" x14ac:dyDescent="0.45">
      <c r="E14" s="5"/>
      <c r="G14" s="5"/>
      <c r="H14" s="5"/>
      <c r="I14" s="5"/>
      <c r="J14" s="5"/>
      <c r="K14" s="5"/>
      <c r="L14" s="5"/>
      <c r="M14" s="90"/>
      <c r="N14" s="5"/>
      <c r="O14" s="5"/>
      <c r="P14" s="5"/>
      <c r="Q14" s="5"/>
      <c r="R14" s="5"/>
      <c r="S14" s="5"/>
      <c r="T14" s="5"/>
      <c r="U14" s="5"/>
      <c r="V14" s="5"/>
      <c r="W14" s="5"/>
      <c r="X14" s="5"/>
      <c r="Y14" s="5"/>
      <c r="Z14" s="5"/>
    </row>
    <row r="15" spans="1:30" x14ac:dyDescent="0.45">
      <c r="A15" s="48"/>
      <c r="C15" s="56" t="str">
        <f>'Cost Allocation - Round 1'!$C$13</f>
        <v>Final Actual Spending</v>
      </c>
      <c r="E15" s="5">
        <f>SUM(G15:Y15)</f>
        <v>30000000</v>
      </c>
      <c r="G15" s="4">
        <f>'Cost Allocation - Round 1'!G13</f>
        <v>15000000</v>
      </c>
      <c r="I15" s="6">
        <f>'Cost Allocation - Round 1'!I13</f>
        <v>8000000</v>
      </c>
      <c r="K15" s="6">
        <f>'Cost Allocation - Round 1'!K13</f>
        <v>3000000</v>
      </c>
      <c r="L15" s="6"/>
      <c r="M15" s="91"/>
      <c r="N15" s="6"/>
      <c r="O15" s="6">
        <f>'Cost Allocation - Round 1'!M13</f>
        <v>1000000</v>
      </c>
      <c r="P15" s="6"/>
      <c r="Q15" s="6">
        <f>'Cost Allocation - Round 1'!O13</f>
        <v>400000</v>
      </c>
      <c r="R15" s="6"/>
      <c r="S15" s="6">
        <f>'Cost Allocation - Round 1'!Q13</f>
        <v>300000</v>
      </c>
      <c r="T15" s="6"/>
      <c r="U15" s="6">
        <f>'Cost Allocation - Round 1'!S13</f>
        <v>200000</v>
      </c>
      <c r="V15" s="6"/>
      <c r="W15" s="6">
        <f>'Cost Allocation - Round 1'!U13</f>
        <v>800000</v>
      </c>
      <c r="X15" s="6"/>
      <c r="Y15" s="6">
        <f>'Cost Allocation - Round 1'!W13</f>
        <v>1300000</v>
      </c>
      <c r="AA15" s="46">
        <f>SUM(G15:Y15)-E15</f>
        <v>0</v>
      </c>
      <c r="AD15" s="16"/>
    </row>
    <row r="16" spans="1:30" s="41" customFormat="1" x14ac:dyDescent="0.45">
      <c r="A16" s="33"/>
      <c r="C16" s="42" t="s">
        <v>74</v>
      </c>
      <c r="E16" s="43">
        <f>SUM(G16:Y16)</f>
        <v>1</v>
      </c>
      <c r="G16" s="43">
        <f>'Cost Allocation - Round 1'!G14</f>
        <v>0.5</v>
      </c>
      <c r="H16" s="44"/>
      <c r="I16" s="43">
        <f>'Cost Allocation - Round 1'!I14</f>
        <v>0.27</v>
      </c>
      <c r="J16" s="44"/>
      <c r="K16" s="43">
        <f>'Cost Allocation - Round 1'!K14</f>
        <v>0.1</v>
      </c>
      <c r="L16" s="43"/>
      <c r="M16" s="50"/>
      <c r="N16" s="44"/>
      <c r="O16" s="43">
        <f>'Cost Allocation - Round 1'!M14</f>
        <v>0.03</v>
      </c>
      <c r="P16" s="44"/>
      <c r="Q16" s="43">
        <f>'Cost Allocation - Round 1'!O14</f>
        <v>0.01</v>
      </c>
      <c r="R16" s="43"/>
      <c r="S16" s="43">
        <f>'Cost Allocation - Round 1'!Q14</f>
        <v>0.01</v>
      </c>
      <c r="T16" s="43"/>
      <c r="U16" s="43">
        <f>'Cost Allocation - Round 1'!S14</f>
        <v>0.01</v>
      </c>
      <c r="V16" s="43"/>
      <c r="W16" s="43">
        <f>'Cost Allocation - Round 1'!U14</f>
        <v>0.03</v>
      </c>
      <c r="X16" s="44"/>
      <c r="Y16" s="43">
        <f>'Cost Allocation - Round 1'!W14</f>
        <v>0.04</v>
      </c>
      <c r="AA16" s="46">
        <f>SUM(G16:Y16)-E16</f>
        <v>0</v>
      </c>
    </row>
    <row r="17" spans="1:27" s="41" customFormat="1" x14ac:dyDescent="0.45">
      <c r="A17" s="33"/>
      <c r="C17" s="51" t="s">
        <v>75</v>
      </c>
      <c r="D17" s="52"/>
      <c r="E17" s="53">
        <f>SUM(G17:K17)</f>
        <v>1</v>
      </c>
      <c r="F17" s="52"/>
      <c r="G17" s="53">
        <f>+G15/$M17</f>
        <v>0.57692307692307687</v>
      </c>
      <c r="H17" s="50"/>
      <c r="I17" s="53">
        <f>+I15/$M17</f>
        <v>0.30769230769230771</v>
      </c>
      <c r="J17" s="50"/>
      <c r="K17" s="53">
        <f>+K15/$M17</f>
        <v>0.11538461538461539</v>
      </c>
      <c r="L17" s="53"/>
      <c r="M17" s="50">
        <f>SUM(G15:K15)</f>
        <v>26000000</v>
      </c>
      <c r="N17" s="44"/>
      <c r="O17" s="43"/>
      <c r="P17" s="44"/>
      <c r="Q17" s="43"/>
      <c r="R17" s="43"/>
      <c r="S17" s="43"/>
      <c r="T17" s="43"/>
      <c r="U17" s="43"/>
      <c r="V17" s="43"/>
      <c r="W17" s="43"/>
      <c r="X17" s="44"/>
      <c r="Y17" s="43"/>
    </row>
    <row r="18" spans="1:27" ht="5.55" customHeight="1" x14ac:dyDescent="0.45">
      <c r="E18" s="6"/>
      <c r="G18" s="4"/>
      <c r="I18" s="6"/>
      <c r="K18" s="6"/>
      <c r="L18" s="6"/>
      <c r="M18" s="91"/>
      <c r="N18" s="6"/>
      <c r="O18" s="6"/>
      <c r="P18" s="6"/>
      <c r="Q18" s="6"/>
      <c r="R18" s="6"/>
      <c r="S18" s="6"/>
      <c r="T18" s="6"/>
      <c r="U18" s="6"/>
      <c r="V18" s="6"/>
      <c r="W18" s="6"/>
      <c r="X18" s="6"/>
      <c r="Y18" s="6"/>
    </row>
    <row r="19" spans="1:27" x14ac:dyDescent="0.45">
      <c r="C19" s="57" t="s">
        <v>15</v>
      </c>
      <c r="E19" s="5">
        <f>SUM(G19:Y19)</f>
        <v>100</v>
      </c>
      <c r="G19" s="5">
        <f>'Cost Allocation - Round 1'!G16</f>
        <v>30</v>
      </c>
      <c r="H19" s="5"/>
      <c r="I19" s="5">
        <f>'Cost Allocation - Round 1'!I16</f>
        <v>25</v>
      </c>
      <c r="J19" s="5"/>
      <c r="K19" s="5">
        <f>'Cost Allocation - Round 1'!K16</f>
        <v>20</v>
      </c>
      <c r="L19" s="5"/>
      <c r="M19" s="90"/>
      <c r="N19" s="5"/>
      <c r="O19" s="5">
        <f>'Cost Allocation - Round 1'!M16</f>
        <v>5</v>
      </c>
      <c r="P19" s="5"/>
      <c r="Q19" s="5">
        <f>'Cost Allocation - Round 1'!O16</f>
        <v>2</v>
      </c>
      <c r="R19" s="5"/>
      <c r="S19" s="5">
        <f>'Cost Allocation - Round 1'!Q16</f>
        <v>3</v>
      </c>
      <c r="T19" s="5"/>
      <c r="U19" s="5">
        <f>'Cost Allocation - Round 1'!S16</f>
        <v>2</v>
      </c>
      <c r="V19" s="5"/>
      <c r="W19" s="5">
        <f>'Cost Allocation - Round 1'!U16</f>
        <v>5</v>
      </c>
      <c r="X19" s="5"/>
      <c r="Y19" s="5">
        <f>'Cost Allocation - Round 1'!W16</f>
        <v>8</v>
      </c>
      <c r="Z19" s="5"/>
      <c r="AA19" s="46">
        <f>SUM(G19:Y19)-E19</f>
        <v>0</v>
      </c>
    </row>
    <row r="20" spans="1:27" s="41" customFormat="1" x14ac:dyDescent="0.45">
      <c r="A20" s="33"/>
      <c r="C20" s="42" t="s">
        <v>74</v>
      </c>
      <c r="E20" s="43">
        <f>SUM(G20:Y20)</f>
        <v>1.0000000000000002</v>
      </c>
      <c r="G20" s="43">
        <f>'Cost Allocation - Round 1'!G17</f>
        <v>0.3</v>
      </c>
      <c r="H20" s="44"/>
      <c r="I20" s="43">
        <f>'Cost Allocation - Round 1'!I17</f>
        <v>0.25</v>
      </c>
      <c r="J20" s="44"/>
      <c r="K20" s="43">
        <f>'Cost Allocation - Round 1'!K17</f>
        <v>0.2</v>
      </c>
      <c r="L20" s="43"/>
      <c r="M20" s="50"/>
      <c r="N20" s="44"/>
      <c r="O20" s="43">
        <f>'Cost Allocation - Round 1'!M17</f>
        <v>0.05</v>
      </c>
      <c r="P20" s="44"/>
      <c r="Q20" s="43">
        <f>'Cost Allocation - Round 1'!O17</f>
        <v>0.02</v>
      </c>
      <c r="R20" s="43"/>
      <c r="S20" s="43">
        <f>'Cost Allocation - Round 1'!Q17</f>
        <v>0.03</v>
      </c>
      <c r="T20" s="43"/>
      <c r="U20" s="43">
        <f>'Cost Allocation - Round 1'!S17</f>
        <v>0.02</v>
      </c>
      <c r="V20" s="43"/>
      <c r="W20" s="43">
        <f>'Cost Allocation - Round 1'!U17</f>
        <v>0.05</v>
      </c>
      <c r="X20" s="44"/>
      <c r="Y20" s="43">
        <f>'Cost Allocation - Round 1'!W17</f>
        <v>0.08</v>
      </c>
      <c r="Z20" s="44"/>
      <c r="AA20" s="46">
        <f>SUM(G20:Y20)-E20</f>
        <v>0</v>
      </c>
    </row>
    <row r="21" spans="1:27" s="41" customFormat="1" x14ac:dyDescent="0.45">
      <c r="A21" s="33"/>
      <c r="C21" s="51" t="s">
        <v>75</v>
      </c>
      <c r="D21" s="52"/>
      <c r="E21" s="53">
        <f>SUM(G21:K21)</f>
        <v>1</v>
      </c>
      <c r="F21" s="52"/>
      <c r="G21" s="53">
        <f>+G19/$M21</f>
        <v>0.4</v>
      </c>
      <c r="H21" s="50"/>
      <c r="I21" s="53">
        <f>+I19/$M21</f>
        <v>0.33333333333333331</v>
      </c>
      <c r="J21" s="50"/>
      <c r="K21" s="53">
        <f>+K19/$M21</f>
        <v>0.26666666666666666</v>
      </c>
      <c r="L21" s="53"/>
      <c r="M21" s="50">
        <f>SUM(G19:K19)</f>
        <v>75</v>
      </c>
      <c r="N21" s="44"/>
      <c r="O21" s="43"/>
      <c r="P21" s="44"/>
      <c r="Q21" s="43"/>
      <c r="R21" s="43"/>
      <c r="S21" s="43"/>
      <c r="T21" s="43"/>
      <c r="U21" s="43"/>
      <c r="V21" s="43"/>
      <c r="W21" s="43"/>
      <c r="X21" s="44"/>
      <c r="Y21" s="43"/>
      <c r="Z21" s="44"/>
    </row>
    <row r="22" spans="1:27" ht="5.55" customHeight="1" x14ac:dyDescent="0.45">
      <c r="C22" s="7"/>
      <c r="E22" s="5"/>
      <c r="G22" s="5"/>
      <c r="H22" s="5"/>
      <c r="I22" s="5"/>
      <c r="J22" s="5"/>
      <c r="K22" s="5"/>
      <c r="L22" s="5"/>
      <c r="M22" s="90"/>
      <c r="N22" s="5"/>
      <c r="O22" s="5"/>
      <c r="P22" s="5"/>
      <c r="Q22" s="5"/>
      <c r="R22" s="5"/>
      <c r="S22" s="5"/>
      <c r="T22" s="5"/>
      <c r="U22" s="5"/>
      <c r="V22" s="5"/>
      <c r="W22" s="5"/>
      <c r="X22" s="5"/>
      <c r="Y22" s="5"/>
      <c r="Z22" s="5"/>
      <c r="AA22" s="46">
        <f>SUM(G22:Y22)-E22</f>
        <v>0</v>
      </c>
    </row>
    <row r="23" spans="1:27" x14ac:dyDescent="0.45">
      <c r="C23" s="57" t="str">
        <f>'Cost Allocation - Round 1'!$C$19</f>
        <v>Legal services hours</v>
      </c>
      <c r="E23" s="5">
        <f>SUM(G23:Y23)</f>
        <v>35850</v>
      </c>
      <c r="G23" s="5">
        <f>'Cost Allocation - Round 1'!G19</f>
        <v>8000</v>
      </c>
      <c r="H23" s="5"/>
      <c r="I23" s="5">
        <f>'Cost Allocation - Round 1'!I19</f>
        <v>5000</v>
      </c>
      <c r="J23" s="5"/>
      <c r="K23" s="5">
        <f>'Cost Allocation - Round 1'!K19</f>
        <v>1100</v>
      </c>
      <c r="L23" s="5"/>
      <c r="M23" s="90"/>
      <c r="N23" s="5"/>
      <c r="O23" s="5">
        <f>'Cost Allocation - Round 1'!M19</f>
        <v>15500</v>
      </c>
      <c r="P23" s="5"/>
      <c r="Q23" s="5">
        <f>'Cost Allocation - Round 1'!O19</f>
        <v>3000</v>
      </c>
      <c r="R23" s="5"/>
      <c r="S23" s="5">
        <f>'Cost Allocation - Round 1'!Q19</f>
        <v>500</v>
      </c>
      <c r="T23" s="5"/>
      <c r="U23" s="5">
        <f>'Cost Allocation - Round 1'!S19</f>
        <v>750</v>
      </c>
      <c r="V23" s="5"/>
      <c r="W23" s="5">
        <f>'Cost Allocation - Round 1'!U19</f>
        <v>2000</v>
      </c>
      <c r="X23" s="5"/>
      <c r="Y23" s="5">
        <f>'Cost Allocation - Round 1'!W19</f>
        <v>0</v>
      </c>
      <c r="Z23" s="5"/>
      <c r="AA23" s="46">
        <f>SUM(G23:Y23)-E23</f>
        <v>0</v>
      </c>
    </row>
    <row r="24" spans="1:27" s="41" customFormat="1" x14ac:dyDescent="0.45">
      <c r="A24" s="33"/>
      <c r="C24" s="42" t="s">
        <v>74</v>
      </c>
      <c r="E24" s="43">
        <f>SUM(G24:Y24)</f>
        <v>1</v>
      </c>
      <c r="G24" s="43">
        <f>'Cost Allocation - Round 1'!G20</f>
        <v>0.22</v>
      </c>
      <c r="H24" s="44"/>
      <c r="I24" s="43">
        <f>'Cost Allocation - Round 1'!I20</f>
        <v>0.14000000000000001</v>
      </c>
      <c r="J24" s="44"/>
      <c r="K24" s="43">
        <f>'Cost Allocation - Round 1'!K20</f>
        <v>0.03</v>
      </c>
      <c r="L24" s="43"/>
      <c r="M24" s="50"/>
      <c r="N24" s="44"/>
      <c r="O24" s="43">
        <f>'Cost Allocation - Round 1'!M20</f>
        <v>0.43</v>
      </c>
      <c r="P24" s="44"/>
      <c r="Q24" s="43">
        <f>'Cost Allocation - Round 1'!O20</f>
        <v>0.08</v>
      </c>
      <c r="R24" s="43"/>
      <c r="S24" s="43">
        <f>'Cost Allocation - Round 1'!Q20</f>
        <v>0.02</v>
      </c>
      <c r="T24" s="43"/>
      <c r="U24" s="43">
        <f>'Cost Allocation - Round 1'!S20</f>
        <v>0.02</v>
      </c>
      <c r="V24" s="43"/>
      <c r="W24" s="43">
        <f>'Cost Allocation - Round 1'!U20</f>
        <v>0.06</v>
      </c>
      <c r="X24" s="44"/>
      <c r="Y24" s="43">
        <f>'Cost Allocation - Round 1'!W20</f>
        <v>0</v>
      </c>
      <c r="Z24" s="44"/>
      <c r="AA24" s="46">
        <f>SUM(G24:Y24)-E24</f>
        <v>0</v>
      </c>
    </row>
    <row r="25" spans="1:27" s="41" customFormat="1" x14ac:dyDescent="0.45">
      <c r="A25" s="33"/>
      <c r="C25" s="51" t="s">
        <v>75</v>
      </c>
      <c r="D25" s="52"/>
      <c r="E25" s="53">
        <f>SUM(G25:K25)</f>
        <v>1</v>
      </c>
      <c r="F25" s="52"/>
      <c r="G25" s="53">
        <f>+G23/$M25</f>
        <v>0.56737588652482274</v>
      </c>
      <c r="H25" s="50"/>
      <c r="I25" s="53">
        <f>+I23/$M25</f>
        <v>0.3546099290780142</v>
      </c>
      <c r="J25" s="50"/>
      <c r="K25" s="53">
        <f>+K23/$M25</f>
        <v>7.8014184397163122E-2</v>
      </c>
      <c r="L25" s="53"/>
      <c r="M25" s="50">
        <f>SUM(G23:K23)</f>
        <v>14100</v>
      </c>
      <c r="N25" s="44"/>
      <c r="O25" s="43"/>
      <c r="P25" s="44"/>
      <c r="Q25" s="43"/>
      <c r="R25" s="43"/>
      <c r="S25" s="43"/>
      <c r="T25" s="43"/>
      <c r="U25" s="43"/>
      <c r="V25" s="43"/>
      <c r="W25" s="43"/>
      <c r="X25" s="44"/>
      <c r="Y25" s="43"/>
      <c r="Z25" s="44"/>
    </row>
    <row r="26" spans="1:27" ht="5.55" customHeight="1" x14ac:dyDescent="0.45">
      <c r="E26" s="5"/>
      <c r="G26" s="5"/>
      <c r="H26" s="5"/>
      <c r="I26" s="5"/>
      <c r="J26" s="5"/>
      <c r="K26" s="5"/>
      <c r="L26" s="5"/>
      <c r="M26" s="62"/>
      <c r="N26" s="5"/>
      <c r="O26" s="5"/>
      <c r="P26" s="5"/>
      <c r="Q26" s="5"/>
      <c r="R26" s="5"/>
      <c r="S26" s="5"/>
      <c r="T26" s="5"/>
      <c r="U26" s="5"/>
      <c r="V26" s="5"/>
      <c r="W26" s="5"/>
      <c r="X26" s="5"/>
      <c r="Y26" s="5"/>
      <c r="Z26" s="5"/>
      <c r="AA26" s="46">
        <f>SUM(G26:Y26)-E26</f>
        <v>0</v>
      </c>
    </row>
    <row r="27" spans="1:27" x14ac:dyDescent="0.45">
      <c r="A27" s="47" t="s">
        <v>91</v>
      </c>
      <c r="B27" s="9"/>
    </row>
    <row r="28" spans="1:27" x14ac:dyDescent="0.45">
      <c r="A28" s="31" t="str">
        <f>'Cost Allocation - Round 1'!A24</f>
        <v>Mayor &amp; Council *</v>
      </c>
      <c r="C28" s="1" t="str">
        <f>'Cost Allocation - Round 1'!C24</f>
        <v>Spending $</v>
      </c>
      <c r="D28">
        <f>'Cost Allocation - Round 1'!D24</f>
        <v>0</v>
      </c>
      <c r="E28" s="6">
        <f>'Cost Allocation - Round 1'!E24</f>
        <v>1000000</v>
      </c>
      <c r="G28" s="4">
        <f>'Cost Allocation - Round 1'!G24</f>
        <v>500000</v>
      </c>
      <c r="I28" s="4">
        <f>'Cost Allocation - Round 1'!I24</f>
        <v>270000</v>
      </c>
      <c r="K28" s="4">
        <f>'Cost Allocation - Round 1'!K24</f>
        <v>100000</v>
      </c>
      <c r="L28" s="4"/>
      <c r="M28" s="63"/>
      <c r="N28" s="4"/>
      <c r="O28" s="4">
        <f>'Cost Allocation - Round 1'!M24</f>
        <v>30000</v>
      </c>
      <c r="P28" s="4"/>
      <c r="Q28" s="4">
        <f>'Cost Allocation - Round 1'!O24</f>
        <v>10000</v>
      </c>
      <c r="R28" s="4"/>
      <c r="S28" s="4">
        <f>'Cost Allocation - Round 1'!Q24</f>
        <v>10000</v>
      </c>
      <c r="T28" s="4"/>
      <c r="U28" s="4">
        <f>'Cost Allocation - Round 1'!S24</f>
        <v>10000</v>
      </c>
      <c r="V28" s="4"/>
      <c r="W28" s="4">
        <f>'Cost Allocation - Round 1'!U24</f>
        <v>30000</v>
      </c>
      <c r="X28" s="4"/>
      <c r="Y28" s="4">
        <f>'Cost Allocation - Round 1'!W24</f>
        <v>40000</v>
      </c>
      <c r="AA28" s="46">
        <f t="shared" ref="AA28:AA34" si="0">SUM(G28:Y28)-E28</f>
        <v>0</v>
      </c>
    </row>
    <row r="29" spans="1:27" x14ac:dyDescent="0.45">
      <c r="A29" s="2" t="str">
        <f>'Cost Allocation - Round 1'!A25</f>
        <v>Civil Service</v>
      </c>
      <c r="C29" s="1" t="str">
        <f>'Cost Allocation - Round 1'!C25</f>
        <v>Headcount</v>
      </c>
      <c r="D29">
        <f>'Cost Allocation - Round 1'!D25</f>
        <v>0</v>
      </c>
      <c r="E29" s="5">
        <f>'Cost Allocation - Round 1'!E25</f>
        <v>400000</v>
      </c>
      <c r="G29" s="5">
        <f>'Cost Allocation - Round 1'!G25</f>
        <v>160000</v>
      </c>
      <c r="H29" s="5"/>
      <c r="I29" s="5">
        <f>'Cost Allocation - Round 1'!I25</f>
        <v>120000</v>
      </c>
      <c r="J29" s="5"/>
      <c r="K29" s="5">
        <f>'Cost Allocation - Round 1'!K25</f>
        <v>52000</v>
      </c>
      <c r="L29" s="5"/>
      <c r="M29" s="62"/>
      <c r="N29" s="5"/>
      <c r="O29" s="5">
        <f>'Cost Allocation - Round 1'!M25</f>
        <v>24000</v>
      </c>
      <c r="P29" s="5"/>
      <c r="Q29" s="5">
        <f>'Cost Allocation - Round 1'!O25</f>
        <v>16000</v>
      </c>
      <c r="R29" s="5"/>
      <c r="S29" s="5">
        <f>'Cost Allocation - Round 1'!Q25</f>
        <v>8000</v>
      </c>
      <c r="T29" s="5"/>
      <c r="U29" s="5">
        <f>'Cost Allocation - Round 1'!S25</f>
        <v>4000</v>
      </c>
      <c r="V29" s="5"/>
      <c r="W29" s="5">
        <f>'Cost Allocation - Round 1'!U25</f>
        <v>8000</v>
      </c>
      <c r="X29" s="5"/>
      <c r="Y29" s="5">
        <f>'Cost Allocation - Round 1'!W25</f>
        <v>8000</v>
      </c>
      <c r="AA29" s="46">
        <f t="shared" si="0"/>
        <v>0</v>
      </c>
    </row>
    <row r="30" spans="1:27" s="1" customFormat="1" x14ac:dyDescent="0.45">
      <c r="A30" s="2" t="str">
        <f>'Cost Allocation - Round 1'!A26</f>
        <v>Accounting</v>
      </c>
      <c r="C30" s="1" t="str">
        <f>'Cost Allocation - Round 1'!C26</f>
        <v>Transactions</v>
      </c>
      <c r="D30" s="1">
        <f>'Cost Allocation - Round 1'!D26</f>
        <v>0</v>
      </c>
      <c r="E30" s="5">
        <f>'Cost Allocation - Round 1'!E26</f>
        <v>300000</v>
      </c>
      <c r="F30"/>
      <c r="G30" s="5">
        <f>'Cost Allocation - Round 1'!G26</f>
        <v>63000</v>
      </c>
      <c r="H30" s="5"/>
      <c r="I30" s="5">
        <f>'Cost Allocation - Round 1'!I26</f>
        <v>111000</v>
      </c>
      <c r="J30" s="5"/>
      <c r="K30" s="5">
        <f>'Cost Allocation - Round 1'!K26</f>
        <v>51000.000000000007</v>
      </c>
      <c r="L30" s="5"/>
      <c r="M30" s="62"/>
      <c r="N30" s="5"/>
      <c r="O30" s="5">
        <f>'Cost Allocation - Round 1'!M26</f>
        <v>36000</v>
      </c>
      <c r="P30" s="5"/>
      <c r="Q30" s="5">
        <f>'Cost Allocation - Round 1'!O26</f>
        <v>3000</v>
      </c>
      <c r="R30" s="5"/>
      <c r="S30" s="5">
        <f>'Cost Allocation - Round 1'!Q26</f>
        <v>0</v>
      </c>
      <c r="T30" s="5"/>
      <c r="U30" s="5">
        <f>'Cost Allocation - Round 1'!S26</f>
        <v>6000</v>
      </c>
      <c r="V30" s="5"/>
      <c r="W30" s="5">
        <f>'Cost Allocation - Round 1'!U26</f>
        <v>6000</v>
      </c>
      <c r="X30" s="5"/>
      <c r="Y30" s="5">
        <f>'Cost Allocation - Round 1'!W26</f>
        <v>24000</v>
      </c>
      <c r="AA30" s="46">
        <f t="shared" si="0"/>
        <v>0</v>
      </c>
    </row>
    <row r="31" spans="1:27" x14ac:dyDescent="0.45">
      <c r="A31" s="2" t="str">
        <f>'Cost Allocation - Round 1'!A27</f>
        <v xml:space="preserve">Budget </v>
      </c>
      <c r="C31" s="1" t="str">
        <f>'Cost Allocation - Round 1'!C27</f>
        <v>Spending $</v>
      </c>
      <c r="D31">
        <f>'Cost Allocation - Round 1'!D27</f>
        <v>0</v>
      </c>
      <c r="E31" s="5">
        <f>'Cost Allocation - Round 1'!E27</f>
        <v>200000</v>
      </c>
      <c r="G31" s="5">
        <f>'Cost Allocation - Round 1'!G27</f>
        <v>100000</v>
      </c>
      <c r="H31" s="5"/>
      <c r="I31" s="5">
        <f>'Cost Allocation - Round 1'!I27</f>
        <v>54000</v>
      </c>
      <c r="J31" s="5"/>
      <c r="K31" s="5">
        <f>'Cost Allocation - Round 1'!K27</f>
        <v>20000</v>
      </c>
      <c r="L31" s="5"/>
      <c r="M31" s="62"/>
      <c r="N31" s="5"/>
      <c r="O31" s="5">
        <f>'Cost Allocation - Round 1'!M27</f>
        <v>6000</v>
      </c>
      <c r="P31" s="5"/>
      <c r="Q31" s="5">
        <f>'Cost Allocation - Round 1'!O27</f>
        <v>2000</v>
      </c>
      <c r="R31" s="5"/>
      <c r="S31" s="5">
        <f>'Cost Allocation - Round 1'!Q27</f>
        <v>2000</v>
      </c>
      <c r="T31" s="5"/>
      <c r="U31" s="5">
        <f>'Cost Allocation - Round 1'!S27</f>
        <v>2000</v>
      </c>
      <c r="V31" s="5"/>
      <c r="W31" s="5">
        <f>'Cost Allocation - Round 1'!U27</f>
        <v>6000</v>
      </c>
      <c r="X31" s="5"/>
      <c r="Y31" s="5">
        <f>'Cost Allocation - Round 1'!W27</f>
        <v>8000</v>
      </c>
      <c r="AA31" s="46">
        <f t="shared" si="0"/>
        <v>0</v>
      </c>
    </row>
    <row r="32" spans="1:27" ht="16.5" customHeight="1" x14ac:dyDescent="0.45">
      <c r="A32" s="2" t="str">
        <f>'Cost Allocation - Round 1'!A28</f>
        <v>City-wide WAN / IT</v>
      </c>
      <c r="C32" s="1" t="str">
        <f>'Cost Allocation - Round 1'!C28</f>
        <v>Nodes</v>
      </c>
      <c r="D32">
        <f>'Cost Allocation - Round 1'!D28</f>
        <v>0</v>
      </c>
      <c r="E32" s="5">
        <f>'Cost Allocation - Round 1'!E28</f>
        <v>800000</v>
      </c>
      <c r="G32" s="5">
        <f>'Cost Allocation - Round 1'!G28</f>
        <v>240000</v>
      </c>
      <c r="H32" s="5"/>
      <c r="I32" s="5">
        <f>'Cost Allocation - Round 1'!I28</f>
        <v>200000</v>
      </c>
      <c r="J32" s="5"/>
      <c r="K32" s="5">
        <f>'Cost Allocation - Round 1'!K28</f>
        <v>160000</v>
      </c>
      <c r="L32" s="5"/>
      <c r="M32" s="62"/>
      <c r="N32" s="5"/>
      <c r="O32" s="5">
        <f>'Cost Allocation - Round 1'!M28</f>
        <v>40000</v>
      </c>
      <c r="P32" s="5"/>
      <c r="Q32" s="5">
        <f>'Cost Allocation - Round 1'!O28</f>
        <v>16000</v>
      </c>
      <c r="R32" s="5"/>
      <c r="S32" s="5">
        <f>'Cost Allocation - Round 1'!Q28</f>
        <v>24000</v>
      </c>
      <c r="T32" s="5"/>
      <c r="U32" s="5">
        <f>'Cost Allocation - Round 1'!S28</f>
        <v>16000</v>
      </c>
      <c r="V32" s="5"/>
      <c r="W32" s="5">
        <f>'Cost Allocation - Round 1'!U28</f>
        <v>40000</v>
      </c>
      <c r="X32" s="5"/>
      <c r="Y32" s="5">
        <f>'Cost Allocation - Round 1'!W28</f>
        <v>64000</v>
      </c>
      <c r="AA32" s="46">
        <f t="shared" si="0"/>
        <v>0</v>
      </c>
    </row>
    <row r="33" spans="1:27" x14ac:dyDescent="0.45">
      <c r="A33" s="2" t="str">
        <f>'Cost Allocation - Round 1'!A29</f>
        <v>Legal Counsel</v>
      </c>
      <c r="C33" s="1" t="str">
        <f>'Cost Allocation - Round 1'!C29</f>
        <v>Legal services hours</v>
      </c>
      <c r="D33">
        <f>'Cost Allocation - Round 1'!D29</f>
        <v>0</v>
      </c>
      <c r="E33" s="5">
        <f>'Cost Allocation - Round 1'!E29</f>
        <v>1300000</v>
      </c>
      <c r="G33" s="5">
        <f>'Cost Allocation - Round 1'!G29</f>
        <v>286000</v>
      </c>
      <c r="H33" s="5"/>
      <c r="I33" s="5">
        <f>'Cost Allocation - Round 1'!I29</f>
        <v>182000.00000000003</v>
      </c>
      <c r="J33" s="5"/>
      <c r="K33" s="5">
        <f>'Cost Allocation - Round 1'!K29</f>
        <v>39000</v>
      </c>
      <c r="L33" s="5"/>
      <c r="M33" s="62"/>
      <c r="N33" s="5"/>
      <c r="O33" s="5">
        <f>'Cost Allocation - Round 1'!M29</f>
        <v>559000</v>
      </c>
      <c r="P33" s="5"/>
      <c r="Q33" s="5">
        <f>'Cost Allocation - Round 1'!O29</f>
        <v>104000</v>
      </c>
      <c r="R33" s="39"/>
      <c r="S33" s="5">
        <f>'Cost Allocation - Round 1'!Q29</f>
        <v>26000</v>
      </c>
      <c r="T33" s="5"/>
      <c r="U33" s="5">
        <f>'Cost Allocation - Round 1'!S29</f>
        <v>26000</v>
      </c>
      <c r="V33" s="5"/>
      <c r="W33" s="5">
        <f>'Cost Allocation - Round 1'!U29</f>
        <v>78000</v>
      </c>
      <c r="X33" s="5"/>
      <c r="Y33" s="5">
        <f>'Cost Allocation - Round 1'!W29</f>
        <v>0</v>
      </c>
      <c r="AA33" s="46">
        <f t="shared" si="0"/>
        <v>0</v>
      </c>
    </row>
    <row r="34" spans="1:27" x14ac:dyDescent="0.45">
      <c r="A34" s="118" t="s">
        <v>103</v>
      </c>
      <c r="B34" s="118"/>
      <c r="C34" s="118"/>
      <c r="E34" s="64">
        <f>SUM(E28:E33)</f>
        <v>4000000</v>
      </c>
      <c r="G34" s="64">
        <f>SUM(G28:G33)</f>
        <v>1349000</v>
      </c>
      <c r="I34" s="64">
        <f>SUM(I28:I33)</f>
        <v>937000</v>
      </c>
      <c r="K34" s="110">
        <f>SUM(K28:K33)</f>
        <v>422000</v>
      </c>
      <c r="L34" s="6"/>
      <c r="M34" s="6"/>
      <c r="N34" s="6"/>
      <c r="O34" s="64">
        <f>SUM(O28:O33)</f>
        <v>695000</v>
      </c>
      <c r="P34" s="6"/>
      <c r="Q34" s="64">
        <f>SUM(Q28:Q33)</f>
        <v>151000</v>
      </c>
      <c r="R34" s="6"/>
      <c r="S34" s="64">
        <f>SUM(S28:S33)</f>
        <v>70000</v>
      </c>
      <c r="T34" s="6"/>
      <c r="U34" s="64">
        <f>SUM(U28:U33)</f>
        <v>64000</v>
      </c>
      <c r="V34" s="6"/>
      <c r="W34" s="64">
        <f>SUM(W28:W33)</f>
        <v>168000</v>
      </c>
      <c r="X34" s="6"/>
      <c r="Y34" s="64">
        <f>SUM(Y28:Y33)</f>
        <v>144000</v>
      </c>
      <c r="AA34" s="46">
        <f t="shared" si="0"/>
        <v>0</v>
      </c>
    </row>
    <row r="35" spans="1:27" ht="4.45" customHeight="1" x14ac:dyDescent="0.45"/>
    <row r="36" spans="1:27" x14ac:dyDescent="0.45">
      <c r="A36" s="47" t="s">
        <v>92</v>
      </c>
      <c r="E36" s="11"/>
      <c r="F36" s="11"/>
      <c r="G36" s="11"/>
      <c r="H36" s="11"/>
      <c r="I36" s="11"/>
      <c r="J36" s="11"/>
      <c r="K36" s="11"/>
      <c r="L36" s="11"/>
      <c r="M36" s="11"/>
      <c r="N36" s="11"/>
      <c r="O36" s="11"/>
      <c r="P36" s="11"/>
      <c r="Q36" s="11"/>
      <c r="R36" s="11"/>
      <c r="S36" s="11"/>
      <c r="T36" s="11"/>
      <c r="U36" s="11"/>
      <c r="V36" s="11"/>
      <c r="W36" s="11"/>
      <c r="X36" s="11"/>
      <c r="Y36" s="11"/>
    </row>
    <row r="37" spans="1:27" x14ac:dyDescent="0.45">
      <c r="A37" s="31" t="str">
        <f>+A28</f>
        <v>Mayor &amp; Council *</v>
      </c>
      <c r="C37" s="1" t="str">
        <f>+C28</f>
        <v>Spending $</v>
      </c>
      <c r="E37" s="6">
        <f>-O37</f>
        <v>695000</v>
      </c>
      <c r="F37" s="6"/>
      <c r="G37" s="6">
        <f>+$E37*G17</f>
        <v>400961.53846153844</v>
      </c>
      <c r="H37" s="6"/>
      <c r="I37" s="6">
        <f>+$E37*I17</f>
        <v>213846.15384615384</v>
      </c>
      <c r="J37" s="6"/>
      <c r="K37" s="6">
        <f>+$E37*K17</f>
        <v>80192.307692307702</v>
      </c>
      <c r="L37" s="49"/>
      <c r="M37" s="11"/>
      <c r="N37" s="11"/>
      <c r="O37" s="55">
        <f>-O34</f>
        <v>-695000</v>
      </c>
      <c r="P37" s="11"/>
      <c r="Q37" s="49"/>
      <c r="R37" s="49"/>
      <c r="S37" s="49"/>
      <c r="T37" s="11"/>
      <c r="U37" s="49"/>
      <c r="V37" s="11"/>
      <c r="W37" s="49"/>
      <c r="X37" s="11"/>
      <c r="Y37" s="49"/>
      <c r="AA37" s="46">
        <f t="shared" ref="AA37:AA42" si="1">SUM(G37:Y37)</f>
        <v>0</v>
      </c>
    </row>
    <row r="38" spans="1:27" x14ac:dyDescent="0.45">
      <c r="A38" s="31" t="str">
        <f t="shared" ref="A38:A42" si="2">+A29</f>
        <v>Civil Service</v>
      </c>
      <c r="C38" s="1" t="str">
        <f t="shared" ref="C38:C42" si="3">+C29</f>
        <v>Headcount</v>
      </c>
      <c r="E38" s="5">
        <f>-Q38</f>
        <v>151000</v>
      </c>
      <c r="F38" s="11"/>
      <c r="G38" s="5">
        <f>+$E38*G9</f>
        <v>72596.153846153844</v>
      </c>
      <c r="H38" s="5"/>
      <c r="I38" s="5">
        <f>+$E38*I9</f>
        <v>54447.115384615383</v>
      </c>
      <c r="J38" s="5"/>
      <c r="K38" s="5">
        <f>+$E38*K9</f>
        <v>23956.73076923077</v>
      </c>
      <c r="M38" s="11"/>
      <c r="N38" s="11"/>
      <c r="O38" s="11"/>
      <c r="P38" s="11"/>
      <c r="Q38" s="54">
        <f>-Q34</f>
        <v>-151000</v>
      </c>
      <c r="R38" s="54"/>
      <c r="S38" s="11"/>
      <c r="T38" s="11"/>
      <c r="U38" s="11"/>
      <c r="V38" s="11"/>
      <c r="W38" s="11"/>
      <c r="X38" s="11"/>
      <c r="Y38" s="11"/>
      <c r="AA38" s="46">
        <f t="shared" si="1"/>
        <v>0</v>
      </c>
    </row>
    <row r="39" spans="1:27" x14ac:dyDescent="0.45">
      <c r="A39" s="31" t="str">
        <f t="shared" si="2"/>
        <v>Accounting</v>
      </c>
      <c r="B39" s="1"/>
      <c r="C39" s="1" t="str">
        <f t="shared" si="3"/>
        <v>Transactions</v>
      </c>
      <c r="E39" s="5">
        <f>-S39</f>
        <v>70000</v>
      </c>
      <c r="F39" s="11"/>
      <c r="G39" s="5">
        <f>+$E39*G13</f>
        <v>19315.673289183225</v>
      </c>
      <c r="H39" s="5"/>
      <c r="I39" s="5">
        <f>+$E39*I13</f>
        <v>34768.2119205298</v>
      </c>
      <c r="J39" s="5"/>
      <c r="K39" s="5">
        <f>+$E39*K13</f>
        <v>15916.114790286976</v>
      </c>
      <c r="L39" s="11"/>
      <c r="M39" s="11"/>
      <c r="N39" s="11"/>
      <c r="O39" s="11"/>
      <c r="P39" s="11"/>
      <c r="Q39" s="11"/>
      <c r="R39" s="11"/>
      <c r="S39" s="54">
        <f>-S34</f>
        <v>-70000</v>
      </c>
      <c r="T39" s="11"/>
      <c r="U39" s="11"/>
      <c r="V39" s="11"/>
      <c r="W39" s="11"/>
      <c r="X39" s="11"/>
      <c r="Y39" s="11"/>
      <c r="AA39" s="46">
        <f t="shared" si="1"/>
        <v>0</v>
      </c>
    </row>
    <row r="40" spans="1:27" x14ac:dyDescent="0.45">
      <c r="A40" s="31" t="str">
        <f t="shared" si="2"/>
        <v xml:space="preserve">Budget </v>
      </c>
      <c r="C40" s="1" t="str">
        <f t="shared" si="3"/>
        <v>Spending $</v>
      </c>
      <c r="E40" s="5">
        <f>-U40</f>
        <v>64000</v>
      </c>
      <c r="F40" s="11"/>
      <c r="G40" s="5">
        <f>+$E40*G17</f>
        <v>36923.076923076922</v>
      </c>
      <c r="H40" s="5"/>
      <c r="I40" s="5">
        <f>+$E40*I17</f>
        <v>19692.307692307695</v>
      </c>
      <c r="J40" s="5"/>
      <c r="K40" s="5">
        <f>+$E40*K17</f>
        <v>7384.6153846153848</v>
      </c>
      <c r="L40" s="11"/>
      <c r="M40" s="11"/>
      <c r="N40" s="11"/>
      <c r="O40" s="11"/>
      <c r="P40" s="11"/>
      <c r="Q40" s="11"/>
      <c r="R40" s="11"/>
      <c r="S40" s="11"/>
      <c r="T40" s="11"/>
      <c r="U40" s="54">
        <f>-U34</f>
        <v>-64000</v>
      </c>
      <c r="V40" s="11"/>
      <c r="W40" s="11"/>
      <c r="X40" s="11"/>
      <c r="Y40" s="11"/>
      <c r="AA40" s="46">
        <f t="shared" si="1"/>
        <v>0</v>
      </c>
    </row>
    <row r="41" spans="1:27" x14ac:dyDescent="0.45">
      <c r="A41" s="31" t="str">
        <f t="shared" si="2"/>
        <v>City-wide WAN / IT</v>
      </c>
      <c r="C41" s="1" t="str">
        <f t="shared" si="3"/>
        <v>Nodes</v>
      </c>
      <c r="E41" s="5">
        <f>-W41</f>
        <v>168000</v>
      </c>
      <c r="F41" s="11"/>
      <c r="G41" s="5">
        <f>+$E41*G21</f>
        <v>67200</v>
      </c>
      <c r="H41" s="5"/>
      <c r="I41" s="5">
        <f>+$E41*I21</f>
        <v>56000</v>
      </c>
      <c r="J41" s="5"/>
      <c r="K41" s="5">
        <f>+$E41*K21</f>
        <v>44800</v>
      </c>
      <c r="L41" s="11"/>
      <c r="M41" s="11"/>
      <c r="N41" s="11"/>
      <c r="O41" s="11"/>
      <c r="P41" s="11"/>
      <c r="Q41" s="11"/>
      <c r="R41" s="11"/>
      <c r="S41" s="11"/>
      <c r="T41" s="11"/>
      <c r="U41" s="11"/>
      <c r="V41" s="11"/>
      <c r="W41" s="54">
        <f>-W34</f>
        <v>-168000</v>
      </c>
      <c r="X41" s="11"/>
      <c r="Y41" s="11"/>
      <c r="AA41" s="46">
        <f t="shared" si="1"/>
        <v>0</v>
      </c>
    </row>
    <row r="42" spans="1:27" x14ac:dyDescent="0.45">
      <c r="A42" s="31" t="str">
        <f t="shared" si="2"/>
        <v>Legal Counsel</v>
      </c>
      <c r="C42" s="1" t="str">
        <f t="shared" si="3"/>
        <v>Legal services hours</v>
      </c>
      <c r="E42" s="22">
        <f>-Y42</f>
        <v>144000</v>
      </c>
      <c r="F42" s="11"/>
      <c r="G42" s="22">
        <f>+$E42*G25</f>
        <v>81702.127659574471</v>
      </c>
      <c r="H42" s="5"/>
      <c r="I42" s="22">
        <f>+$E42*I25</f>
        <v>51063.829787234041</v>
      </c>
      <c r="J42" s="5"/>
      <c r="K42" s="22">
        <f>+$E42*K25</f>
        <v>11234.04255319149</v>
      </c>
      <c r="L42" s="11"/>
      <c r="M42" s="11"/>
      <c r="N42" s="11"/>
      <c r="O42" s="11"/>
      <c r="P42" s="11"/>
      <c r="Q42" s="11"/>
      <c r="R42" s="11"/>
      <c r="S42" s="11"/>
      <c r="T42" s="11"/>
      <c r="U42" s="11"/>
      <c r="V42" s="11"/>
      <c r="W42" s="11"/>
      <c r="X42" s="11"/>
      <c r="Y42" s="54">
        <f>-Y34</f>
        <v>-144000</v>
      </c>
      <c r="AA42" s="46">
        <f t="shared" si="1"/>
        <v>0</v>
      </c>
    </row>
    <row r="43" spans="1:27" x14ac:dyDescent="0.45">
      <c r="A43" s="60" t="s">
        <v>57</v>
      </c>
      <c r="C43"/>
      <c r="E43" s="65">
        <f>SUM(E37:E42)</f>
        <v>1292000</v>
      </c>
      <c r="F43" s="5"/>
      <c r="G43" s="65">
        <f>SUM(G37:G42)</f>
        <v>678698.57017952693</v>
      </c>
      <c r="H43" s="5"/>
      <c r="I43" s="65">
        <f>SUM(I37:I42)</f>
        <v>429817.61863084073</v>
      </c>
      <c r="J43" s="5"/>
      <c r="K43" s="65">
        <f>SUM(K37:K42)</f>
        <v>183483.81118963231</v>
      </c>
      <c r="L43" s="5"/>
      <c r="N43" s="11"/>
      <c r="O43" s="39"/>
      <c r="P43" s="11"/>
      <c r="Q43" s="39"/>
      <c r="R43" s="11"/>
      <c r="S43" s="39"/>
      <c r="T43" s="11"/>
      <c r="U43" s="39"/>
      <c r="V43" s="11"/>
      <c r="W43" s="39"/>
      <c r="X43" s="11"/>
      <c r="Y43" s="39"/>
      <c r="AA43" s="46">
        <f>SUM(G43:Y43)-E43</f>
        <v>0</v>
      </c>
    </row>
    <row r="44" spans="1:27" ht="7.5" customHeight="1" x14ac:dyDescent="0.45">
      <c r="A44" s="60"/>
      <c r="C44"/>
      <c r="E44" s="39"/>
      <c r="F44" s="5"/>
      <c r="G44" s="39"/>
      <c r="H44" s="5"/>
      <c r="I44" s="39"/>
      <c r="J44" s="5"/>
      <c r="K44" s="39"/>
      <c r="L44" s="5"/>
      <c r="M44" s="93"/>
      <c r="N44" s="11"/>
      <c r="O44" s="11"/>
      <c r="P44" s="11"/>
      <c r="Q44" s="11"/>
      <c r="R44" s="11"/>
      <c r="S44" s="11"/>
      <c r="T44" s="11"/>
      <c r="U44" s="11"/>
      <c r="V44" s="11"/>
      <c r="W44" s="11"/>
      <c r="X44" s="11"/>
      <c r="Y44" s="11"/>
      <c r="AA44" s="46"/>
    </row>
    <row r="45" spans="1:27" x14ac:dyDescent="0.45">
      <c r="A45" s="118" t="s">
        <v>50</v>
      </c>
      <c r="B45" s="118"/>
      <c r="C45" s="118"/>
      <c r="E45" s="39">
        <f>SUM(G45:K45)</f>
        <v>4000000</v>
      </c>
      <c r="F45" s="5"/>
      <c r="G45" s="39">
        <f>+G34+G43</f>
        <v>2027698.5701795269</v>
      </c>
      <c r="H45" s="5"/>
      <c r="I45" s="39">
        <f>+I34+I43</f>
        <v>1366817.6186308407</v>
      </c>
      <c r="J45" s="5"/>
      <c r="K45" s="39">
        <f>+K34+K43</f>
        <v>605483.81118963228</v>
      </c>
      <c r="L45" s="11"/>
      <c r="M45" s="11"/>
      <c r="N45" s="11"/>
      <c r="AA45" s="46">
        <f>SUM(G45:Y45)-E45</f>
        <v>0</v>
      </c>
    </row>
    <row r="46" spans="1:27" x14ac:dyDescent="0.45">
      <c r="A46" s="123" t="s">
        <v>97</v>
      </c>
      <c r="B46" s="123"/>
      <c r="C46" s="123"/>
      <c r="E46" s="58">
        <f>-(E28+E37)</f>
        <v>-1695000</v>
      </c>
      <c r="F46" s="59"/>
      <c r="G46" s="58">
        <f>-(G28+G37)</f>
        <v>-900961.5384615385</v>
      </c>
      <c r="H46" s="58"/>
      <c r="I46" s="58">
        <f>-(I28+I37)</f>
        <v>-483846.15384615387</v>
      </c>
      <c r="J46" s="58"/>
      <c r="K46" s="58">
        <f>-(K28+K37)</f>
        <v>-180192.30769230769</v>
      </c>
      <c r="L46" s="6"/>
      <c r="M46" s="6"/>
      <c r="N46" s="6"/>
      <c r="O46" s="6"/>
      <c r="P46" s="6"/>
      <c r="Q46" s="6"/>
      <c r="R46" s="6"/>
      <c r="S46" s="6"/>
      <c r="T46" s="6"/>
      <c r="U46" s="6"/>
      <c r="V46" s="6"/>
      <c r="W46" s="6"/>
      <c r="X46" s="6"/>
      <c r="Y46" s="6"/>
      <c r="AA46" s="46"/>
    </row>
    <row r="47" spans="1:27" ht="14.65" thickBot="1" x14ac:dyDescent="0.5">
      <c r="A47" s="61" t="s">
        <v>54</v>
      </c>
      <c r="B47" s="14"/>
      <c r="C47" s="18"/>
      <c r="D47" s="14"/>
      <c r="E47" s="108">
        <f>SUM(E45:E46)</f>
        <v>2305000</v>
      </c>
      <c r="G47" s="108">
        <f>SUM(G45:G46)</f>
        <v>1126737.0317179884</v>
      </c>
      <c r="H47" s="14"/>
      <c r="I47" s="109">
        <f>SUM(I45:I46)</f>
        <v>882971.4647846868</v>
      </c>
      <c r="J47" s="14"/>
      <c r="K47" s="108">
        <f>SUM(K45:K46)</f>
        <v>425291.50349732459</v>
      </c>
      <c r="L47" s="6"/>
      <c r="M47" s="6"/>
      <c r="N47" s="6"/>
      <c r="O47" s="10">
        <f>SUM(O34:O46)</f>
        <v>0</v>
      </c>
      <c r="P47" s="97"/>
      <c r="Q47" s="10">
        <f>SUM(Q34:Q46)</f>
        <v>0</v>
      </c>
      <c r="R47" s="97"/>
      <c r="S47" s="10">
        <f>SUM(S34:S46)</f>
        <v>0</v>
      </c>
      <c r="T47" s="97"/>
      <c r="U47" s="10">
        <f>SUM(U34:U46)</f>
        <v>0</v>
      </c>
      <c r="V47" s="97"/>
      <c r="W47" s="10">
        <f>SUM(W34:W46)</f>
        <v>0</v>
      </c>
      <c r="X47" s="97"/>
      <c r="Y47" s="10">
        <f>SUM(Y34:Y46)</f>
        <v>0</v>
      </c>
      <c r="AA47" s="58"/>
    </row>
    <row r="48" spans="1:27" ht="14.65" thickTop="1" x14ac:dyDescent="0.45">
      <c r="E48" s="6"/>
      <c r="F48" s="6"/>
      <c r="G48" s="6"/>
      <c r="H48" s="6"/>
      <c r="I48" s="6"/>
      <c r="J48" s="6"/>
      <c r="K48" s="6"/>
      <c r="L48" s="6"/>
      <c r="M48" s="93">
        <f>SUM(G34:K34)+E43-E45</f>
        <v>0</v>
      </c>
      <c r="N48" s="6"/>
    </row>
    <row r="49" spans="5:25" x14ac:dyDescent="0.45">
      <c r="E49" s="6"/>
      <c r="F49" s="6"/>
      <c r="G49" s="6"/>
      <c r="H49" s="6"/>
      <c r="I49" s="6"/>
      <c r="J49" s="6"/>
      <c r="K49" s="6"/>
      <c r="L49" s="6"/>
      <c r="M49" s="6"/>
      <c r="N49" s="6"/>
      <c r="O49" s="6"/>
      <c r="P49" s="6"/>
      <c r="Q49" s="6"/>
      <c r="R49" s="6"/>
      <c r="S49" s="6"/>
      <c r="T49" s="6"/>
      <c r="U49" s="6"/>
      <c r="V49" s="6"/>
      <c r="W49" s="6"/>
      <c r="X49" s="6"/>
      <c r="Y49" s="6"/>
    </row>
  </sheetData>
  <mergeCells count="6">
    <mergeCell ref="A3:Y3"/>
    <mergeCell ref="A46:C46"/>
    <mergeCell ref="A45:C45"/>
    <mergeCell ref="A4:Y4"/>
    <mergeCell ref="G5:Y5"/>
    <mergeCell ref="A34:C34"/>
  </mergeCells>
  <pageMargins left="0.7" right="0.7" top="0.75" bottom="0.75" header="0.3" footer="0.3"/>
  <pageSetup paperSize="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workbookViewId="0"/>
  </sheetViews>
  <sheetFormatPr defaultRowHeight="14.25" x14ac:dyDescent="0.45"/>
  <cols>
    <col min="1" max="1" width="44.73046875" style="1" bestFit="1" customWidth="1"/>
    <col min="2" max="2" width="1.265625" customWidth="1"/>
    <col min="3" max="3" width="14.46484375" bestFit="1" customWidth="1"/>
    <col min="4" max="4" width="1.265625" customWidth="1"/>
    <col min="5" max="5" width="14.46484375" bestFit="1" customWidth="1"/>
    <col min="6" max="6" width="1.19921875" customWidth="1"/>
    <col min="7" max="7" width="11.796875" bestFit="1" customWidth="1"/>
    <col min="8" max="8" width="1.265625" customWidth="1"/>
    <col min="9" max="9" width="9.19921875" bestFit="1" customWidth="1"/>
    <col min="10" max="10" width="9.796875" bestFit="1" customWidth="1"/>
    <col min="11" max="12" width="13.46484375" bestFit="1" customWidth="1"/>
  </cols>
  <sheetData>
    <row r="1" spans="1:7" x14ac:dyDescent="0.45">
      <c r="A1" s="113" t="s">
        <v>112</v>
      </c>
    </row>
    <row r="3" spans="1:7" x14ac:dyDescent="0.45">
      <c r="A3" s="125" t="s">
        <v>34</v>
      </c>
      <c r="B3" s="125"/>
      <c r="C3" s="125"/>
      <c r="D3" s="125"/>
      <c r="E3" s="125"/>
      <c r="F3" s="125"/>
      <c r="G3" s="125"/>
    </row>
    <row r="4" spans="1:7" s="3" customFormat="1" x14ac:dyDescent="0.45">
      <c r="C4" s="9" t="s">
        <v>58</v>
      </c>
      <c r="E4" s="9" t="s">
        <v>25</v>
      </c>
      <c r="G4" s="9" t="s">
        <v>22</v>
      </c>
    </row>
    <row r="5" spans="1:7" x14ac:dyDescent="0.45">
      <c r="A5" s="9"/>
    </row>
    <row r="6" spans="1:7" x14ac:dyDescent="0.45">
      <c r="A6" s="1" t="s">
        <v>20</v>
      </c>
      <c r="C6" s="19">
        <f>'Backgrouond &amp; Assumptions'!E60</f>
        <v>19500000</v>
      </c>
      <c r="E6" s="19">
        <f>+C6</f>
        <v>19500000</v>
      </c>
      <c r="F6" s="19"/>
    </row>
    <row r="7" spans="1:7" x14ac:dyDescent="0.45">
      <c r="A7" s="1" t="s">
        <v>22</v>
      </c>
      <c r="C7" s="22">
        <f>'Backgrouond &amp; Assumptions'!E61</f>
        <v>1500000</v>
      </c>
      <c r="E7" s="26"/>
      <c r="G7" s="27">
        <f>+C7</f>
        <v>1500000</v>
      </c>
    </row>
    <row r="8" spans="1:7" x14ac:dyDescent="0.45">
      <c r="A8" s="13" t="s">
        <v>23</v>
      </c>
      <c r="C8" s="19">
        <f>SUM(C6:C7)</f>
        <v>21000000</v>
      </c>
      <c r="E8" s="19">
        <f>SUM(E6:E7)</f>
        <v>19500000</v>
      </c>
      <c r="F8" s="19"/>
      <c r="G8" s="19">
        <f>SUM(G6:G7)</f>
        <v>1500000</v>
      </c>
    </row>
    <row r="9" spans="1:7" ht="4.5" customHeight="1" x14ac:dyDescent="0.45">
      <c r="A9" s="13"/>
      <c r="C9" s="19"/>
    </row>
    <row r="10" spans="1:7" s="1" customFormat="1" x14ac:dyDescent="0.45">
      <c r="A10" s="1" t="s">
        <v>19</v>
      </c>
      <c r="C10" s="5">
        <f>'Backgrouond &amp; Assumptions'!E64</f>
        <v>1260000</v>
      </c>
      <c r="E10" s="28">
        <f>+C10/C8</f>
        <v>0.06</v>
      </c>
      <c r="F10" s="28"/>
      <c r="G10" s="28">
        <f>+E10</f>
        <v>0.06</v>
      </c>
    </row>
    <row r="11" spans="1:7" ht="15.4" customHeight="1" x14ac:dyDescent="0.45">
      <c r="A11" s="1" t="s">
        <v>121</v>
      </c>
      <c r="C11" s="5">
        <f>'Backgrouond &amp; Assumptions'!E65</f>
        <v>298200</v>
      </c>
      <c r="E11" s="28">
        <f>+C11/C8</f>
        <v>1.4200000000000001E-2</v>
      </c>
      <c r="F11" s="28"/>
      <c r="G11" s="28">
        <f>+E11</f>
        <v>1.4200000000000001E-2</v>
      </c>
    </row>
    <row r="12" spans="1:7" x14ac:dyDescent="0.45">
      <c r="A12" s="1" t="s">
        <v>33</v>
      </c>
      <c r="C12" s="5">
        <f>'Backgrouond &amp; Assumptions'!E66</f>
        <v>331800.00000000006</v>
      </c>
      <c r="E12" s="28">
        <f>+C12/C8</f>
        <v>1.5800000000000002E-2</v>
      </c>
      <c r="F12" s="28"/>
      <c r="G12" s="28">
        <f>+E12</f>
        <v>1.5800000000000002E-2</v>
      </c>
    </row>
    <row r="13" spans="1:7" x14ac:dyDescent="0.45">
      <c r="A13" t="s">
        <v>24</v>
      </c>
      <c r="C13" s="5">
        <f>'Backgrouond &amp; Assumptions'!E67</f>
        <v>7000000</v>
      </c>
      <c r="E13" s="28">
        <f>+C13/E8</f>
        <v>0.35897435897435898</v>
      </c>
      <c r="F13" s="28" t="s">
        <v>31</v>
      </c>
      <c r="G13" s="24">
        <v>0</v>
      </c>
    </row>
    <row r="14" spans="1:7" x14ac:dyDescent="0.45">
      <c r="A14" s="1" t="s">
        <v>21</v>
      </c>
      <c r="C14" s="5">
        <f>'Backgrouond &amp; Assumptions'!E68</f>
        <v>3780000</v>
      </c>
      <c r="E14" s="28">
        <f>+C14/C8</f>
        <v>0.18</v>
      </c>
      <c r="F14" s="28"/>
      <c r="G14" s="28">
        <f>+E14</f>
        <v>0.18</v>
      </c>
    </row>
    <row r="15" spans="1:7" x14ac:dyDescent="0.45">
      <c r="A15" s="1" t="s">
        <v>122</v>
      </c>
      <c r="C15" s="5">
        <f>'Backgrouond &amp; Assumptions'!E69</f>
        <v>1000000</v>
      </c>
      <c r="E15" s="28">
        <f>+C15/E8</f>
        <v>5.128205128205128E-2</v>
      </c>
      <c r="F15" s="28" t="s">
        <v>31</v>
      </c>
      <c r="G15" s="24">
        <v>0</v>
      </c>
    </row>
    <row r="16" spans="1:7" ht="14.65" customHeight="1" thickBot="1" x14ac:dyDescent="0.5">
      <c r="A16" s="13" t="s">
        <v>62</v>
      </c>
      <c r="C16" s="34">
        <f>'Backgrouond &amp; Assumptions'!E70</f>
        <v>13670000</v>
      </c>
    </row>
    <row r="17" spans="1:12" ht="15" thickTop="1" thickBot="1" x14ac:dyDescent="0.5">
      <c r="A17" s="18" t="s">
        <v>26</v>
      </c>
      <c r="B17" s="14"/>
      <c r="C17" s="29"/>
      <c r="D17" s="14"/>
      <c r="E17" s="67">
        <f>SUM(E10:E16)</f>
        <v>0.68025641025641037</v>
      </c>
      <c r="F17" s="14"/>
      <c r="G17" s="67">
        <f>SUM(G10:G16)</f>
        <v>0.27</v>
      </c>
    </row>
    <row r="18" spans="1:12" ht="14.65" thickTop="1" x14ac:dyDescent="0.45">
      <c r="C18" s="11"/>
    </row>
    <row r="19" spans="1:12" ht="28.15" customHeight="1" x14ac:dyDescent="0.45">
      <c r="A19" s="126" t="s">
        <v>61</v>
      </c>
      <c r="B19" s="126"/>
      <c r="C19" s="126"/>
      <c r="D19" s="126"/>
      <c r="E19" s="126"/>
      <c r="F19" s="126"/>
      <c r="G19" s="126"/>
      <c r="I19" s="15"/>
      <c r="J19" s="15"/>
      <c r="K19" s="15"/>
    </row>
    <row r="20" spans="1:12" x14ac:dyDescent="0.45">
      <c r="A20" s="126"/>
      <c r="B20" s="126"/>
      <c r="C20" s="126"/>
      <c r="D20" s="126"/>
      <c r="E20" s="126"/>
      <c r="F20" s="126"/>
      <c r="G20" s="126"/>
    </row>
    <row r="21" spans="1:12" x14ac:dyDescent="0.45">
      <c r="A21" s="9"/>
      <c r="C21" s="11"/>
    </row>
    <row r="22" spans="1:12" x14ac:dyDescent="0.45">
      <c r="C22" s="6"/>
      <c r="I22" s="5"/>
      <c r="J22" s="5"/>
      <c r="K22" s="5"/>
      <c r="L22" s="5"/>
    </row>
    <row r="23" spans="1:12" x14ac:dyDescent="0.45">
      <c r="A23" s="20"/>
      <c r="B23" s="6">
        <v>142800</v>
      </c>
      <c r="C23" s="1"/>
    </row>
    <row r="24" spans="1:12" x14ac:dyDescent="0.45">
      <c r="A24" s="21"/>
    </row>
    <row r="25" spans="1:12" x14ac:dyDescent="0.45">
      <c r="A25" s="23"/>
      <c r="B25" s="6">
        <v>7000</v>
      </c>
    </row>
    <row r="26" spans="1:12" x14ac:dyDescent="0.45">
      <c r="A26"/>
    </row>
  </sheetData>
  <mergeCells count="3">
    <mergeCell ref="A3:G3"/>
    <mergeCell ref="A19:G19"/>
    <mergeCell ref="A20:G2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
  <sheetViews>
    <sheetView workbookViewId="0"/>
  </sheetViews>
  <sheetFormatPr defaultRowHeight="14.25" x14ac:dyDescent="0.45"/>
  <cols>
    <col min="1" max="1" width="51.265625" style="2" customWidth="1"/>
    <col min="2" max="2" width="1.53125" customWidth="1"/>
    <col min="3" max="3" width="13.46484375" bestFit="1" customWidth="1"/>
    <col min="4" max="4" width="1.265625" customWidth="1"/>
    <col min="6" max="6" width="10.796875" bestFit="1" customWidth="1"/>
  </cols>
  <sheetData>
    <row r="1" spans="1:7" x14ac:dyDescent="0.45">
      <c r="A1" s="113" t="s">
        <v>112</v>
      </c>
    </row>
    <row r="3" spans="1:7" x14ac:dyDescent="0.45">
      <c r="A3" s="124" t="s">
        <v>27</v>
      </c>
      <c r="B3" s="124"/>
      <c r="C3" s="124"/>
      <c r="D3" s="124"/>
    </row>
    <row r="4" spans="1:7" hidden="1" x14ac:dyDescent="0.45">
      <c r="C4" s="5"/>
    </row>
    <row r="5" spans="1:7" ht="9" customHeight="1" x14ac:dyDescent="0.45">
      <c r="C5" s="5"/>
    </row>
    <row r="6" spans="1:7" x14ac:dyDescent="0.45">
      <c r="A6" s="8" t="s">
        <v>105</v>
      </c>
      <c r="B6" s="9"/>
      <c r="C6" s="9" t="s">
        <v>4</v>
      </c>
    </row>
    <row r="7" spans="1:7" x14ac:dyDescent="0.45">
      <c r="A7" s="2" t="s">
        <v>37</v>
      </c>
      <c r="C7" s="6">
        <f>'Backgrouond &amp; Assumptions'!E72</f>
        <v>500000</v>
      </c>
    </row>
    <row r="8" spans="1:7" s="1" customFormat="1" x14ac:dyDescent="0.45">
      <c r="A8" s="2" t="s">
        <v>38</v>
      </c>
      <c r="C8" s="5">
        <f>'Backgrouond &amp; Assumptions'!E73</f>
        <v>120000</v>
      </c>
      <c r="D8" s="5"/>
    </row>
    <row r="9" spans="1:7" ht="14.65" customHeight="1" x14ac:dyDescent="0.45">
      <c r="A9" s="2" t="s">
        <v>35</v>
      </c>
      <c r="C9" s="5">
        <f>'Backgrouond &amp; Assumptions'!E74</f>
        <v>150000</v>
      </c>
      <c r="D9" s="5"/>
    </row>
    <row r="10" spans="1:7" x14ac:dyDescent="0.45">
      <c r="A10" s="2" t="s">
        <v>16</v>
      </c>
      <c r="C10" s="5">
        <f>'Backgrouond &amp; Assumptions'!E75</f>
        <v>225000</v>
      </c>
      <c r="D10" s="5"/>
    </row>
    <row r="11" spans="1:7" ht="14.25" customHeight="1" x14ac:dyDescent="0.45">
      <c r="A11" s="2" t="s">
        <v>106</v>
      </c>
      <c r="C11" s="5">
        <f>'Backgrouond &amp; Assumptions'!E76</f>
        <v>300000</v>
      </c>
      <c r="D11" s="5"/>
    </row>
    <row r="12" spans="1:7" s="14" customFormat="1" x14ac:dyDescent="0.45">
      <c r="A12" s="17" t="s">
        <v>17</v>
      </c>
      <c r="B12" s="32"/>
      <c r="C12" s="40">
        <f>+'Cost Allocation - Round 2'!I47</f>
        <v>882971.4647846868</v>
      </c>
      <c r="D12" s="40"/>
    </row>
    <row r="13" spans="1:7" x14ac:dyDescent="0.45">
      <c r="A13" s="13" t="s">
        <v>18</v>
      </c>
      <c r="C13" s="35">
        <f>SUM(C7:C12)</f>
        <v>2177971.4647846869</v>
      </c>
    </row>
    <row r="14" spans="1:7" x14ac:dyDescent="0.45">
      <c r="A14" s="2" t="s">
        <v>107</v>
      </c>
      <c r="C14" s="6">
        <f>'Backgrouond &amp; Assumptions'!$I$77</f>
        <v>6000000</v>
      </c>
      <c r="D14" s="6"/>
      <c r="F14" s="25"/>
      <c r="G14" s="23"/>
    </row>
    <row r="15" spans="1:7" s="14" customFormat="1" ht="14.65" thickBot="1" x14ac:dyDescent="0.5">
      <c r="A15" s="17" t="s">
        <v>29</v>
      </c>
      <c r="C15" s="66">
        <f>+C13/C14</f>
        <v>0.36299524413078116</v>
      </c>
      <c r="D15" s="30"/>
    </row>
    <row r="16" spans="1:7" ht="14.65" thickTop="1" x14ac:dyDescent="0.45"/>
  </sheetData>
  <mergeCells count="1">
    <mergeCell ref="A3:D3"/>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zoomScaleNormal="100" workbookViewId="0"/>
  </sheetViews>
  <sheetFormatPr defaultRowHeight="14.25" x14ac:dyDescent="0.45"/>
  <cols>
    <col min="1" max="1" width="3.265625" customWidth="1"/>
    <col min="2" max="2" width="13.46484375" bestFit="1" customWidth="1"/>
    <col min="4" max="4" width="6" customWidth="1"/>
    <col min="5" max="5" width="9" style="5" bestFit="1" customWidth="1"/>
    <col min="6" max="6" width="1.265625" style="5" customWidth="1"/>
    <col min="7" max="7" width="7.19921875" bestFit="1" customWidth="1"/>
    <col min="8" max="8" width="9" bestFit="1" customWidth="1"/>
    <col min="9" max="9" width="1.53125" customWidth="1"/>
    <col min="10" max="10" width="7.19921875" bestFit="1" customWidth="1"/>
    <col min="11" max="11" width="9" bestFit="1" customWidth="1"/>
  </cols>
  <sheetData>
    <row r="1" spans="1:11" x14ac:dyDescent="0.45">
      <c r="A1" s="113" t="s">
        <v>112</v>
      </c>
    </row>
    <row r="3" spans="1:11" x14ac:dyDescent="0.45">
      <c r="A3" s="127" t="s">
        <v>59</v>
      </c>
      <c r="B3" s="127"/>
      <c r="C3" s="127"/>
      <c r="D3" s="127"/>
      <c r="E3" s="127"/>
      <c r="F3" s="127"/>
      <c r="G3" s="127"/>
      <c r="H3" s="127"/>
      <c r="I3" s="127"/>
      <c r="J3" s="127"/>
      <c r="K3" s="127"/>
    </row>
    <row r="4" spans="1:11" x14ac:dyDescent="0.45">
      <c r="G4" s="127" t="s">
        <v>43</v>
      </c>
      <c r="H4" s="127"/>
      <c r="J4" s="127" t="s">
        <v>40</v>
      </c>
      <c r="K4" s="127"/>
    </row>
    <row r="5" spans="1:11" x14ac:dyDescent="0.45">
      <c r="A5" t="s">
        <v>60</v>
      </c>
      <c r="E5" s="4"/>
      <c r="F5" s="4"/>
      <c r="G5" s="38" t="s">
        <v>41</v>
      </c>
      <c r="H5" s="38" t="s">
        <v>42</v>
      </c>
      <c r="I5" s="38"/>
      <c r="J5" s="38" t="s">
        <v>41</v>
      </c>
      <c r="K5" s="38" t="s">
        <v>42</v>
      </c>
    </row>
    <row r="6" spans="1:11" x14ac:dyDescent="0.45">
      <c r="B6" s="111" t="s">
        <v>93</v>
      </c>
      <c r="C6" s="111"/>
      <c r="D6" s="111"/>
      <c r="E6" s="77">
        <f>'Backgrouond &amp; Assumptions'!E79</f>
        <v>58000</v>
      </c>
      <c r="F6" s="4"/>
      <c r="G6" s="30">
        <f>+'Fringe Benefit Rates'!E17</f>
        <v>0.68025641025641037</v>
      </c>
      <c r="H6" s="4">
        <f>+E6*(G6)</f>
        <v>39454.871794871804</v>
      </c>
      <c r="I6" s="4"/>
      <c r="J6" s="30">
        <f>+'Indirect Cost'!C15</f>
        <v>0.36299524413078116</v>
      </c>
      <c r="K6" s="4">
        <f>+E6*J6</f>
        <v>21053.724159585308</v>
      </c>
    </row>
    <row r="7" spans="1:11" x14ac:dyDescent="0.45">
      <c r="B7" s="111" t="s">
        <v>94</v>
      </c>
      <c r="C7" s="111"/>
      <c r="D7" s="111"/>
      <c r="E7" s="78">
        <f>'Backgrouond &amp; Assumptions'!E80</f>
        <v>8000</v>
      </c>
      <c r="G7" s="30">
        <f>+'Fringe Benefit Rates'!G17</f>
        <v>0.27</v>
      </c>
      <c r="H7" s="5">
        <f>+E7*(G7)</f>
        <v>2160</v>
      </c>
      <c r="I7" s="37"/>
    </row>
    <row r="8" spans="1:11" x14ac:dyDescent="0.45">
      <c r="E8" s="36">
        <f>SUM(E6:E7)</f>
        <v>66000</v>
      </c>
      <c r="F8" s="37"/>
      <c r="G8" s="21"/>
      <c r="H8" s="36">
        <f>SUM(H6:H7)</f>
        <v>41614.871794871804</v>
      </c>
      <c r="I8" s="37"/>
    </row>
    <row r="9" spans="1:11" x14ac:dyDescent="0.45">
      <c r="A9" s="111" t="s">
        <v>109</v>
      </c>
      <c r="B9" s="111"/>
      <c r="C9" s="111"/>
      <c r="D9" s="111"/>
      <c r="E9" s="78">
        <f>'Backgrouond &amp; Assumptions'!$I$82</f>
        <v>2500</v>
      </c>
      <c r="F9" s="37"/>
      <c r="G9" s="21"/>
      <c r="H9" s="37"/>
      <c r="I9" s="37"/>
    </row>
    <row r="10" spans="1:11" ht="7.45" customHeight="1" x14ac:dyDescent="0.45">
      <c r="E10" s="37"/>
      <c r="F10" s="37"/>
      <c r="G10" s="21"/>
      <c r="H10" s="37"/>
      <c r="I10" s="37"/>
      <c r="J10" s="21"/>
      <c r="K10" s="4"/>
    </row>
    <row r="11" spans="1:11" x14ac:dyDescent="0.45">
      <c r="A11" t="s">
        <v>32</v>
      </c>
      <c r="E11" s="5">
        <f>+H8</f>
        <v>41614.871794871804</v>
      </c>
    </row>
    <row r="12" spans="1:11" x14ac:dyDescent="0.45">
      <c r="A12" t="s">
        <v>39</v>
      </c>
      <c r="E12" s="22">
        <f>+K6</f>
        <v>21053.724159585308</v>
      </c>
      <c r="F12" s="39"/>
    </row>
    <row r="13" spans="1:11" x14ac:dyDescent="0.45">
      <c r="A13" t="s">
        <v>44</v>
      </c>
      <c r="E13" s="39">
        <f>SUM(E8:E12)</f>
        <v>131168.59595445712</v>
      </c>
      <c r="F13" s="39"/>
    </row>
    <row r="14" spans="1:11" x14ac:dyDescent="0.45">
      <c r="A14" t="s">
        <v>45</v>
      </c>
      <c r="E14" s="15">
        <f>'Backgrouond &amp; Assumptions'!$G$83</f>
        <v>0.5</v>
      </c>
      <c r="F14" s="15"/>
    </row>
    <row r="15" spans="1:11" ht="14.65" thickBot="1" x14ac:dyDescent="0.5">
      <c r="B15" t="s">
        <v>46</v>
      </c>
      <c r="E15" s="68">
        <f>+E13*E14</f>
        <v>65584.297977228562</v>
      </c>
      <c r="F15" s="69"/>
    </row>
    <row r="16" spans="1:11" ht="14.65" thickTop="1" x14ac:dyDescent="0.45"/>
  </sheetData>
  <mergeCells count="3">
    <mergeCell ref="J4:K4"/>
    <mergeCell ref="G4:H4"/>
    <mergeCell ref="A3:K3"/>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5"/>
  <sheetViews>
    <sheetView zoomScale="85" zoomScaleNormal="85" workbookViewId="0"/>
  </sheetViews>
  <sheetFormatPr defaultRowHeight="14.25" x14ac:dyDescent="0.45"/>
  <cols>
    <col min="1" max="1" width="18.53125" style="2" customWidth="1"/>
    <col min="2" max="2" width="1.73046875" customWidth="1"/>
    <col min="3" max="3" width="22.796875" style="1" customWidth="1"/>
    <col min="4" max="4" width="1.265625" customWidth="1"/>
    <col min="5" max="5" width="12.265625" bestFit="1" customWidth="1"/>
    <col min="6" max="6" width="1.265625" customWidth="1"/>
    <col min="7" max="7" width="13.796875" bestFit="1" customWidth="1"/>
    <col min="8" max="8" width="1.19921875" customWidth="1"/>
    <col min="9" max="9" width="13.796875" bestFit="1" customWidth="1"/>
    <col min="10" max="10" width="1.19921875" customWidth="1"/>
    <col min="11" max="11" width="13.73046875" bestFit="1" customWidth="1"/>
    <col min="12" max="12" width="14" bestFit="1" customWidth="1"/>
  </cols>
  <sheetData>
    <row r="1" spans="1:11" x14ac:dyDescent="0.45">
      <c r="A1" s="113" t="s">
        <v>112</v>
      </c>
    </row>
    <row r="3" spans="1:11" ht="30" customHeight="1" x14ac:dyDescent="0.45">
      <c r="A3" s="115" t="s">
        <v>104</v>
      </c>
      <c r="B3" s="115"/>
      <c r="C3" s="115"/>
      <c r="D3" s="115"/>
      <c r="E3" s="115"/>
      <c r="F3" s="115"/>
      <c r="G3" s="115"/>
      <c r="H3" s="115"/>
      <c r="I3" s="115"/>
      <c r="J3" s="115"/>
      <c r="K3" s="115"/>
    </row>
    <row r="4" spans="1:11" ht="14.25" customHeight="1" x14ac:dyDescent="0.45">
      <c r="A4" s="124" t="s">
        <v>6</v>
      </c>
      <c r="B4" s="124"/>
      <c r="C4" s="124"/>
      <c r="D4" s="124"/>
      <c r="E4" s="124"/>
      <c r="F4" s="124"/>
      <c r="G4" s="124"/>
      <c r="H4" s="124"/>
      <c r="I4" s="124"/>
      <c r="J4" s="124"/>
      <c r="K4" s="124"/>
    </row>
    <row r="5" spans="1:11" ht="14.25" customHeight="1" x14ac:dyDescent="0.45">
      <c r="A5" s="12"/>
      <c r="B5" s="12"/>
      <c r="C5" s="70" t="s">
        <v>0</v>
      </c>
      <c r="D5" s="70"/>
      <c r="E5" s="70"/>
      <c r="F5" s="12"/>
      <c r="G5" s="117" t="s">
        <v>14</v>
      </c>
      <c r="H5" s="117"/>
      <c r="I5" s="117"/>
      <c r="J5" s="117"/>
      <c r="K5" s="117"/>
    </row>
    <row r="6" spans="1:11" s="3" customFormat="1" x14ac:dyDescent="0.45">
      <c r="A6" s="2"/>
      <c r="C6" s="9"/>
      <c r="E6" s="9" t="s">
        <v>4</v>
      </c>
      <c r="F6" s="9"/>
      <c r="G6" s="9" t="s">
        <v>10</v>
      </c>
      <c r="H6" s="9"/>
      <c r="I6" s="9" t="s">
        <v>11</v>
      </c>
      <c r="J6" s="9"/>
      <c r="K6" s="9" t="s">
        <v>12</v>
      </c>
    </row>
    <row r="7" spans="1:11" x14ac:dyDescent="0.45">
      <c r="C7" s="56" t="s">
        <v>2</v>
      </c>
      <c r="E7" s="5">
        <f>SUM(G7:K7)</f>
        <v>416</v>
      </c>
      <c r="G7" s="5">
        <f>'Backgrouond &amp; Assumptions'!G41</f>
        <v>200</v>
      </c>
      <c r="H7" s="5">
        <f>'Backgrouond &amp; Assumptions'!H41</f>
        <v>0</v>
      </c>
      <c r="I7" s="5">
        <f>'Backgrouond &amp; Assumptions'!I41</f>
        <v>150</v>
      </c>
      <c r="J7" s="5">
        <f>'Backgrouond &amp; Assumptions'!J41</f>
        <v>0</v>
      </c>
      <c r="K7" s="5">
        <f>'Backgrouond &amp; Assumptions'!K41</f>
        <v>66</v>
      </c>
    </row>
    <row r="8" spans="1:11" s="41" customFormat="1" x14ac:dyDescent="0.45">
      <c r="A8" s="33"/>
      <c r="C8" s="42" t="s">
        <v>73</v>
      </c>
      <c r="E8" s="43">
        <f>SUM(G8:K8)</f>
        <v>1</v>
      </c>
      <c r="G8" s="43">
        <f>+G7/$E$7</f>
        <v>0.48076923076923078</v>
      </c>
      <c r="H8" s="44">
        <f>'Backgrouond &amp; Assumptions'!H42</f>
        <v>0</v>
      </c>
      <c r="I8" s="43">
        <f>+I7/$E$7</f>
        <v>0.36057692307692307</v>
      </c>
      <c r="J8" s="44">
        <f>'Backgrouond &amp; Assumptions'!J42</f>
        <v>0</v>
      </c>
      <c r="K8" s="43">
        <f>+K7/$E$7</f>
        <v>0.15865384615384615</v>
      </c>
    </row>
    <row r="9" spans="1:11" ht="5.55" customHeight="1" x14ac:dyDescent="0.45">
      <c r="E9" s="5"/>
      <c r="G9" s="5"/>
      <c r="H9" s="5"/>
      <c r="I9" s="5"/>
      <c r="J9" s="5"/>
      <c r="K9" s="5"/>
    </row>
    <row r="10" spans="1:11" x14ac:dyDescent="0.45">
      <c r="C10" s="56" t="s">
        <v>5</v>
      </c>
      <c r="E10" s="5">
        <f>SUM(G10:K10)</f>
        <v>90600</v>
      </c>
      <c r="G10" s="5">
        <f>'Backgrouond &amp; Assumptions'!G44</f>
        <v>25000</v>
      </c>
      <c r="H10" s="5">
        <f>'Backgrouond &amp; Assumptions'!H44</f>
        <v>0</v>
      </c>
      <c r="I10" s="5">
        <f>'Backgrouond &amp; Assumptions'!I44</f>
        <v>45000</v>
      </c>
      <c r="J10" s="5">
        <f>'Backgrouond &amp; Assumptions'!J44</f>
        <v>0</v>
      </c>
      <c r="K10" s="5">
        <f>'Backgrouond &amp; Assumptions'!K44</f>
        <v>20600</v>
      </c>
    </row>
    <row r="11" spans="1:11" s="41" customFormat="1" x14ac:dyDescent="0.45">
      <c r="A11" s="33"/>
      <c r="C11" s="42" t="s">
        <v>73</v>
      </c>
      <c r="E11" s="43">
        <f>SUM(G11:K11)</f>
        <v>1</v>
      </c>
      <c r="G11" s="43">
        <f>+G10/$E10</f>
        <v>0.27593818984547464</v>
      </c>
      <c r="H11" s="44">
        <f>'Backgrouond &amp; Assumptions'!H45</f>
        <v>0</v>
      </c>
      <c r="I11" s="43">
        <f>+I10/$E10</f>
        <v>0.49668874172185429</v>
      </c>
      <c r="J11" s="44">
        <f>'Backgrouond &amp; Assumptions'!J45</f>
        <v>0</v>
      </c>
      <c r="K11" s="43">
        <f>+K10/$E10</f>
        <v>0.22737306843267108</v>
      </c>
    </row>
    <row r="12" spans="1:11" ht="5.55" customHeight="1" x14ac:dyDescent="0.45">
      <c r="E12" s="5"/>
      <c r="G12" s="5"/>
      <c r="H12" s="5"/>
      <c r="I12" s="5"/>
      <c r="J12" s="5"/>
      <c r="K12" s="5"/>
    </row>
    <row r="13" spans="1:11" x14ac:dyDescent="0.45">
      <c r="A13" s="48"/>
      <c r="C13" s="79" t="s">
        <v>88</v>
      </c>
      <c r="E13" s="5">
        <f>SUM(G13:K13)</f>
        <v>26000000</v>
      </c>
      <c r="G13" s="5">
        <f>'Backgrouond &amp; Assumptions'!G47</f>
        <v>15000000</v>
      </c>
      <c r="H13" s="5">
        <f>'Backgrouond &amp; Assumptions'!H47</f>
        <v>0</v>
      </c>
      <c r="I13" s="5">
        <f>'Backgrouond &amp; Assumptions'!I47</f>
        <v>8000000</v>
      </c>
      <c r="J13" s="5">
        <f>'Backgrouond &amp; Assumptions'!J47</f>
        <v>0</v>
      </c>
      <c r="K13" s="5">
        <f>'Backgrouond &amp; Assumptions'!K47</f>
        <v>3000000</v>
      </c>
    </row>
    <row r="14" spans="1:11" s="41" customFormat="1" x14ac:dyDescent="0.45">
      <c r="A14" s="33"/>
      <c r="C14" s="42" t="s">
        <v>73</v>
      </c>
      <c r="E14" s="43">
        <f>SUM(G14:K14)</f>
        <v>1</v>
      </c>
      <c r="G14" s="43">
        <f>+G13/$E13</f>
        <v>0.57692307692307687</v>
      </c>
      <c r="H14" s="44">
        <f>'Backgrouond &amp; Assumptions'!H48</f>
        <v>0</v>
      </c>
      <c r="I14" s="43">
        <f>+I13/$E13</f>
        <v>0.30769230769230771</v>
      </c>
      <c r="J14" s="44">
        <f>'Backgrouond &amp; Assumptions'!J48</f>
        <v>0</v>
      </c>
      <c r="K14" s="43">
        <f>+K13/$E13</f>
        <v>0.11538461538461539</v>
      </c>
    </row>
    <row r="15" spans="1:11" ht="5.55" customHeight="1" x14ac:dyDescent="0.45">
      <c r="E15" s="6"/>
      <c r="G15" s="4"/>
      <c r="I15" s="6"/>
      <c r="K15" s="6"/>
    </row>
    <row r="16" spans="1:11" x14ac:dyDescent="0.45">
      <c r="C16" s="57" t="s">
        <v>15</v>
      </c>
      <c r="E16" s="5">
        <f>SUM(G16:K16)</f>
        <v>75</v>
      </c>
      <c r="G16" s="5">
        <f>'Backgrouond &amp; Assumptions'!G50</f>
        <v>30</v>
      </c>
      <c r="H16" s="5">
        <f>'Backgrouond &amp; Assumptions'!H50</f>
        <v>0</v>
      </c>
      <c r="I16" s="5">
        <f>'Backgrouond &amp; Assumptions'!I50</f>
        <v>25</v>
      </c>
      <c r="J16" s="5">
        <f>'Backgrouond &amp; Assumptions'!J50</f>
        <v>0</v>
      </c>
      <c r="K16" s="5">
        <f>'Backgrouond &amp; Assumptions'!K50</f>
        <v>20</v>
      </c>
    </row>
    <row r="17" spans="1:12" s="41" customFormat="1" x14ac:dyDescent="0.45">
      <c r="A17" s="33"/>
      <c r="C17" s="42" t="s">
        <v>73</v>
      </c>
      <c r="E17" s="43">
        <f>SUM(G17:K17)</f>
        <v>1</v>
      </c>
      <c r="G17" s="43">
        <f>+G16/$E16</f>
        <v>0.4</v>
      </c>
      <c r="H17" s="44">
        <f>'Backgrouond &amp; Assumptions'!H51</f>
        <v>0</v>
      </c>
      <c r="I17" s="43">
        <f>+I16/$E16</f>
        <v>0.33333333333333331</v>
      </c>
      <c r="J17" s="44">
        <f>'Backgrouond &amp; Assumptions'!J51</f>
        <v>0</v>
      </c>
      <c r="K17" s="43">
        <f>+K16/$E16</f>
        <v>0.26666666666666666</v>
      </c>
    </row>
    <row r="18" spans="1:12" ht="5.55" customHeight="1" x14ac:dyDescent="0.45">
      <c r="C18" s="7"/>
      <c r="E18" s="5"/>
      <c r="G18" s="5"/>
      <c r="H18" s="5"/>
      <c r="I18" s="5"/>
      <c r="J18" s="5"/>
      <c r="K18" s="5"/>
    </row>
    <row r="19" spans="1:12" x14ac:dyDescent="0.45">
      <c r="C19" s="57" t="s">
        <v>47</v>
      </c>
      <c r="E19" s="5">
        <f>SUM(G19:K19)</f>
        <v>14100</v>
      </c>
      <c r="G19" s="5">
        <f>'Backgrouond &amp; Assumptions'!G53</f>
        <v>8000</v>
      </c>
      <c r="H19" s="5">
        <f>'Backgrouond &amp; Assumptions'!H53</f>
        <v>0</v>
      </c>
      <c r="I19" s="5">
        <f>'Backgrouond &amp; Assumptions'!I53</f>
        <v>5000</v>
      </c>
      <c r="J19" s="5">
        <f>'Backgrouond &amp; Assumptions'!J53</f>
        <v>0</v>
      </c>
      <c r="K19" s="5">
        <f>'Backgrouond &amp; Assumptions'!K53</f>
        <v>1100</v>
      </c>
    </row>
    <row r="20" spans="1:12" s="41" customFormat="1" x14ac:dyDescent="0.45">
      <c r="A20" s="33"/>
      <c r="C20" s="42" t="s">
        <v>73</v>
      </c>
      <c r="E20" s="43">
        <f>SUM(G20:K20)</f>
        <v>1</v>
      </c>
      <c r="G20" s="43">
        <f>+G19/$E19</f>
        <v>0.56737588652482274</v>
      </c>
      <c r="H20" s="44">
        <f>'Backgrouond &amp; Assumptions'!H54</f>
        <v>0</v>
      </c>
      <c r="I20" s="43">
        <f>+I19/$E19</f>
        <v>0.3546099290780142</v>
      </c>
      <c r="J20" s="44">
        <f>'Backgrouond &amp; Assumptions'!J54</f>
        <v>0</v>
      </c>
      <c r="K20" s="43">
        <f>+K19/$E19</f>
        <v>7.8014184397163122E-2</v>
      </c>
    </row>
    <row r="21" spans="1:12" ht="5.55" customHeight="1" x14ac:dyDescent="0.45">
      <c r="E21" s="5"/>
      <c r="G21" s="5"/>
      <c r="H21" s="5"/>
      <c r="I21" s="5"/>
      <c r="J21" s="5"/>
      <c r="K21" s="5"/>
    </row>
    <row r="22" spans="1:12" ht="15" customHeight="1" x14ac:dyDescent="0.45">
      <c r="E22" s="5"/>
      <c r="G22" s="5"/>
      <c r="H22" s="5"/>
      <c r="I22" s="5"/>
      <c r="J22" s="5"/>
      <c r="K22" s="5"/>
    </row>
    <row r="23" spans="1:12" s="83" customFormat="1" x14ac:dyDescent="0.45">
      <c r="A23" s="80" t="s">
        <v>55</v>
      </c>
      <c r="B23" s="81"/>
      <c r="C23" s="82"/>
    </row>
    <row r="24" spans="1:12" s="83" customFormat="1" x14ac:dyDescent="0.45">
      <c r="A24" s="84" t="s">
        <v>28</v>
      </c>
      <c r="C24" s="82" t="s">
        <v>89</v>
      </c>
      <c r="E24" s="85">
        <f>'Cost Allocation - Round 1'!E24</f>
        <v>1000000</v>
      </c>
      <c r="G24" s="86">
        <f>+$E24*G14</f>
        <v>576923.07692307688</v>
      </c>
      <c r="I24" s="86">
        <f>+$E24*I14</f>
        <v>307692.30769230769</v>
      </c>
      <c r="K24" s="86">
        <f>+$E24*K14</f>
        <v>115384.61538461539</v>
      </c>
      <c r="L24" s="92">
        <f t="shared" ref="L24" si="0">SUM(G24:K24)-E24</f>
        <v>0</v>
      </c>
    </row>
    <row r="25" spans="1:12" s="83" customFormat="1" x14ac:dyDescent="0.45">
      <c r="A25" s="87" t="s">
        <v>8</v>
      </c>
      <c r="C25" s="82" t="s">
        <v>1</v>
      </c>
      <c r="E25" s="88">
        <f>'Cost Allocation - Round 1'!E25</f>
        <v>400000</v>
      </c>
      <c r="G25" s="88">
        <f>+$E25*G8</f>
        <v>192307.69230769231</v>
      </c>
      <c r="H25" s="88"/>
      <c r="I25" s="88">
        <f>+$E25*I8</f>
        <v>144230.76923076922</v>
      </c>
      <c r="J25" s="88"/>
      <c r="K25" s="88">
        <f>+$E25*K8</f>
        <v>63461.538461538461</v>
      </c>
      <c r="L25" s="92">
        <f>SUM(G25:K25)-E25</f>
        <v>0</v>
      </c>
    </row>
    <row r="26" spans="1:12" s="82" customFormat="1" x14ac:dyDescent="0.45">
      <c r="A26" s="87" t="s">
        <v>9</v>
      </c>
      <c r="C26" s="82" t="s">
        <v>5</v>
      </c>
      <c r="E26" s="88">
        <f>'Cost Allocation - Round 1'!E26</f>
        <v>300000</v>
      </c>
      <c r="F26" s="83"/>
      <c r="G26" s="88">
        <f>+$E26*G11</f>
        <v>82781.456953642395</v>
      </c>
      <c r="H26" s="88"/>
      <c r="I26" s="88">
        <f>+$E26*I11</f>
        <v>149006.62251655629</v>
      </c>
      <c r="J26" s="88"/>
      <c r="K26" s="88">
        <f>+$E26*K11</f>
        <v>68211.920529801326</v>
      </c>
      <c r="L26" s="92">
        <f t="shared" ref="L26:L32" si="1">SUM(G26:K26)-E26</f>
        <v>0</v>
      </c>
    </row>
    <row r="27" spans="1:12" s="83" customFormat="1" x14ac:dyDescent="0.45">
      <c r="A27" s="87" t="s">
        <v>90</v>
      </c>
      <c r="C27" s="82" t="s">
        <v>89</v>
      </c>
      <c r="E27" s="88">
        <f>'Cost Allocation - Round 1'!E27</f>
        <v>200000</v>
      </c>
      <c r="G27" s="88">
        <f>+$E$27*G14</f>
        <v>115384.61538461538</v>
      </c>
      <c r="H27" s="88"/>
      <c r="I27" s="88">
        <f>+$E$27*I14</f>
        <v>61538.461538461539</v>
      </c>
      <c r="J27" s="88"/>
      <c r="K27" s="88">
        <f>+$E$27*K14</f>
        <v>23076.923076923078</v>
      </c>
      <c r="L27" s="92">
        <f t="shared" si="1"/>
        <v>0</v>
      </c>
    </row>
    <row r="28" spans="1:12" s="83" customFormat="1" x14ac:dyDescent="0.45">
      <c r="A28" s="87" t="s">
        <v>30</v>
      </c>
      <c r="C28" s="82" t="s">
        <v>13</v>
      </c>
      <c r="E28" s="88">
        <f>'Cost Allocation - Round 1'!E28</f>
        <v>800000</v>
      </c>
      <c r="G28" s="88">
        <f>+$E$28*G17</f>
        <v>320000</v>
      </c>
      <c r="H28" s="88"/>
      <c r="I28" s="88">
        <f>+$E$28*I17</f>
        <v>266666.66666666663</v>
      </c>
      <c r="J28" s="88"/>
      <c r="K28" s="88">
        <f>+$E$28*K17</f>
        <v>213333.33333333334</v>
      </c>
      <c r="L28" s="92">
        <f t="shared" si="1"/>
        <v>0</v>
      </c>
    </row>
    <row r="29" spans="1:12" s="83" customFormat="1" x14ac:dyDescent="0.45">
      <c r="A29" s="87" t="s">
        <v>7</v>
      </c>
      <c r="C29" s="82" t="s">
        <v>47</v>
      </c>
      <c r="E29" s="94">
        <f>'Cost Allocation - Round 1'!E29</f>
        <v>1300000</v>
      </c>
      <c r="G29" s="94">
        <f>+$E29*G20</f>
        <v>737588.65248226956</v>
      </c>
      <c r="H29" s="88"/>
      <c r="I29" s="94">
        <f>+$E29*I20</f>
        <v>460992.90780141845</v>
      </c>
      <c r="J29" s="88"/>
      <c r="K29" s="94">
        <f>+$E29*K20</f>
        <v>101418.43971631206</v>
      </c>
      <c r="L29" s="92">
        <f t="shared" si="1"/>
        <v>0</v>
      </c>
    </row>
    <row r="30" spans="1:12" x14ac:dyDescent="0.45">
      <c r="A30" s="118" t="s">
        <v>50</v>
      </c>
      <c r="B30" s="118"/>
      <c r="C30" s="118"/>
      <c r="E30" s="6">
        <f>SUM(E24:E29)</f>
        <v>4000000</v>
      </c>
      <c r="G30" s="6">
        <f>SUM(G24:G29)</f>
        <v>2024985.4940512965</v>
      </c>
      <c r="H30" s="6"/>
      <c r="I30" s="6">
        <f>SUM(I24:I29)</f>
        <v>1390127.7354461798</v>
      </c>
      <c r="J30" s="6"/>
      <c r="K30" s="6">
        <f>SUM(K24:K29)</f>
        <v>584886.77050252364</v>
      </c>
      <c r="L30" s="92">
        <f t="shared" si="1"/>
        <v>0</v>
      </c>
    </row>
    <row r="31" spans="1:12" x14ac:dyDescent="0.45">
      <c r="A31" s="123" t="s">
        <v>52</v>
      </c>
      <c r="B31" s="123"/>
      <c r="C31" s="123"/>
      <c r="E31" s="96">
        <f>-E24</f>
        <v>-1000000</v>
      </c>
      <c r="F31" s="97"/>
      <c r="G31" s="96">
        <f>-G24</f>
        <v>-576923.07692307688</v>
      </c>
      <c r="H31" s="98" t="s">
        <v>53</v>
      </c>
      <c r="I31" s="96">
        <f>-I24</f>
        <v>-307692.30769230769</v>
      </c>
      <c r="J31" s="98" t="s">
        <v>53</v>
      </c>
      <c r="K31" s="96">
        <f>-K24</f>
        <v>-115384.61538461539</v>
      </c>
      <c r="L31" s="92">
        <f t="shared" si="1"/>
        <v>0</v>
      </c>
    </row>
    <row r="32" spans="1:12" x14ac:dyDescent="0.45">
      <c r="A32" s="2" t="s">
        <v>96</v>
      </c>
      <c r="C32" s="9"/>
      <c r="E32" s="6">
        <f>SUM(E30:E31)</f>
        <v>3000000</v>
      </c>
      <c r="G32" s="6">
        <f>SUM(G30:G31)</f>
        <v>1448062.4171282197</v>
      </c>
      <c r="H32" s="14"/>
      <c r="I32" s="6">
        <f>SUM(I30:I31)</f>
        <v>1082435.427753872</v>
      </c>
      <c r="J32" s="14"/>
      <c r="K32" s="6">
        <f>SUM(K30:K31)</f>
        <v>469502.15511790826</v>
      </c>
      <c r="L32" s="92">
        <f t="shared" si="1"/>
        <v>0</v>
      </c>
    </row>
    <row r="33" spans="1:11" x14ac:dyDescent="0.45">
      <c r="A33" s="14" t="s">
        <v>100</v>
      </c>
      <c r="B33" s="14"/>
      <c r="C33" s="18"/>
      <c r="D33" s="14"/>
      <c r="E33" s="102">
        <f>'Cost Allocation - Round 2'!E47</f>
        <v>2305000</v>
      </c>
      <c r="F33" s="6">
        <f>'Cost Allocation - Round 2'!F47</f>
        <v>0</v>
      </c>
      <c r="G33" s="102">
        <f>'Cost Allocation - Round 2'!G47</f>
        <v>1126737.0317179884</v>
      </c>
      <c r="H33" s="95">
        <f>'Cost Allocation - Round 2'!H47</f>
        <v>0</v>
      </c>
      <c r="I33" s="103">
        <f>'Cost Allocation - Round 2'!I47</f>
        <v>882971.4647846868</v>
      </c>
      <c r="J33" s="95">
        <f>'Cost Allocation - Round 2'!J47</f>
        <v>0</v>
      </c>
      <c r="K33" s="102">
        <f>'Cost Allocation - Round 2'!K47</f>
        <v>425291.50349732459</v>
      </c>
    </row>
    <row r="34" spans="1:11" x14ac:dyDescent="0.45">
      <c r="A34" s="13" t="s">
        <v>98</v>
      </c>
      <c r="E34" s="6">
        <f>+E32-E33</f>
        <v>695000</v>
      </c>
      <c r="F34" s="6"/>
      <c r="G34" s="6">
        <f>+G32-G33</f>
        <v>321325.38541023131</v>
      </c>
      <c r="H34" s="6"/>
      <c r="I34" s="6">
        <f>+I32-I33</f>
        <v>199463.9629691852</v>
      </c>
      <c r="J34" s="6"/>
      <c r="K34" s="6">
        <f>+K32-K33</f>
        <v>44210.651620583667</v>
      </c>
    </row>
    <row r="35" spans="1:11" x14ac:dyDescent="0.45">
      <c r="A35" s="13" t="s">
        <v>99</v>
      </c>
      <c r="E35" s="99">
        <f>+E34/E33</f>
        <v>0.30151843817787416</v>
      </c>
      <c r="F35" s="100"/>
      <c r="G35" s="99">
        <f>+G34/G33</f>
        <v>0.28518223539727944</v>
      </c>
      <c r="H35" s="100"/>
      <c r="I35" s="101">
        <f>+I34/I33</f>
        <v>0.2259008030546317</v>
      </c>
      <c r="J35" s="100"/>
      <c r="K35" s="99">
        <f>+K34/K33</f>
        <v>0.10395376173053922</v>
      </c>
    </row>
  </sheetData>
  <mergeCells count="5">
    <mergeCell ref="A3:K3"/>
    <mergeCell ref="A30:C30"/>
    <mergeCell ref="A31:C31"/>
    <mergeCell ref="G5:K5"/>
    <mergeCell ref="A4:K4"/>
  </mergeCells>
  <pageMargins left="0.7" right="0.7" top="0.75" bottom="0.75" header="0.3" footer="0.3"/>
  <pageSetup paperSize="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Backgrouond &amp; Assumptions</vt:lpstr>
      <vt:lpstr>Cost Allocation - Round 1</vt:lpstr>
      <vt:lpstr>Cost Allocation - Round 2</vt:lpstr>
      <vt:lpstr>Fringe Benefit Rates</vt:lpstr>
      <vt:lpstr>Indirect Cost</vt:lpstr>
      <vt:lpstr>Claim Calc</vt:lpstr>
      <vt:lpstr>Why 2 rounds are needed</vt:lpstr>
      <vt:lpstr>'Claim Calc'!Print_Area</vt:lpstr>
      <vt:lpstr>'Cost Allocation - Round 1'!Print_Area</vt:lpstr>
      <vt:lpstr>'Cost Allocation - Round 2'!Print_Area</vt:lpstr>
      <vt:lpstr>'Fringe Benefit Rates'!Print_Area</vt:lpstr>
      <vt:lpstr>'Indirect Cost'!Print_Area</vt:lpstr>
      <vt:lpstr>'Why 2 rounds are needed'!Print_Area</vt:lpstr>
      <vt:lpstr>'Cost Allocation - Round 1'!Print_Titles</vt:lpstr>
      <vt:lpstr>'Cost Allocation - Round 2'!Print_Titles</vt:lpstr>
      <vt:lpstr>'Why 2 rounds are needed'!Print_Titles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MLevine</dc:creator>
  <cp:lastModifiedBy>Michele Levine</cp:lastModifiedBy>
  <cp:lastPrinted>2023-01-05T17:36:32Z</cp:lastPrinted>
  <dcterms:created xsi:type="dcterms:W3CDTF">2021-04-18T23:46:15Z</dcterms:created>
  <dcterms:modified xsi:type="dcterms:W3CDTF">2023-03-22T13:51:45Z</dcterms:modified>
</cp:coreProperties>
</file>