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gfoaorg-my.sharepoint.com/personal/tbuikema_gfoa_org/Documents/Documents/GAAFR Community/"/>
    </mc:Choice>
  </mc:AlternateContent>
  <xr:revisionPtr revIDLastSave="0" documentId="8_{D686B355-68D9-4D0A-819C-E385FAEAD7F8}" xr6:coauthVersionLast="47" xr6:coauthVersionMax="47" xr10:uidLastSave="{00000000-0000-0000-0000-000000000000}"/>
  <bookViews>
    <workbookView xWindow="-108" yWindow="-108" windowWidth="23256" windowHeight="14016" xr2:uid="{C5DD46F6-81D3-448C-9A5A-DD73A3430BC9}"/>
  </bookViews>
  <sheets>
    <sheet name="Overview" sheetId="3" r:id="rId1"/>
    <sheet name="Dollars Paid Approach" sheetId="2" r:id="rId2"/>
    <sheet name="Days Used Approac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 l="1"/>
  <c r="F53" i="2"/>
  <c r="F52" i="2"/>
  <c r="F51" i="2"/>
  <c r="F50" i="2"/>
  <c r="F39" i="2"/>
  <c r="H37" i="2"/>
  <c r="H36" i="2"/>
  <c r="H39" i="2" l="1"/>
  <c r="M70" i="2" s="1"/>
  <c r="L54" i="2"/>
  <c r="L53" i="2"/>
  <c r="L52" i="2"/>
  <c r="L51" i="2"/>
  <c r="L50" i="2"/>
  <c r="I51" i="2"/>
  <c r="E54" i="2"/>
  <c r="E53" i="2"/>
  <c r="E52" i="2"/>
  <c r="E51" i="2"/>
  <c r="E50" i="2"/>
  <c r="D55" i="2"/>
  <c r="C55" i="2"/>
  <c r="H27" i="2"/>
  <c r="G53" i="2" s="1"/>
  <c r="H26" i="2"/>
  <c r="G52" i="2" s="1"/>
  <c r="G26" i="2"/>
  <c r="H25" i="2"/>
  <c r="G51" i="2" s="1"/>
  <c r="G25" i="2"/>
  <c r="M51" i="2" l="1"/>
  <c r="I52" i="2"/>
  <c r="M52" i="2" s="1"/>
  <c r="I53" i="2"/>
  <c r="M53" i="2" s="1"/>
  <c r="G24" i="2"/>
  <c r="I24" i="2" s="1"/>
  <c r="H50" i="2" s="1"/>
  <c r="J50" i="2" s="1"/>
  <c r="O50" i="2" s="1"/>
  <c r="G27" i="2"/>
  <c r="I27" i="2" s="1"/>
  <c r="H53" i="2" s="1"/>
  <c r="J53" i="2" s="1"/>
  <c r="O53" i="2" s="1"/>
  <c r="F55" i="2"/>
  <c r="E55" i="2"/>
  <c r="H24" i="2"/>
  <c r="G50" i="2" s="1"/>
  <c r="I26" i="2"/>
  <c r="H52" i="2" s="1"/>
  <c r="J52" i="2" s="1"/>
  <c r="O52" i="2" s="1"/>
  <c r="G28" i="2"/>
  <c r="H28" i="2"/>
  <c r="G54" i="2" s="1"/>
  <c r="I54" i="2" s="1"/>
  <c r="M54" i="2" s="1"/>
  <c r="I25" i="2"/>
  <c r="H51" i="2" s="1"/>
  <c r="J51" i="2" s="1"/>
  <c r="O51" i="2" s="1"/>
  <c r="O76" i="2" l="1"/>
  <c r="M59" i="2"/>
  <c r="I50" i="2"/>
  <c r="M50" i="2" s="1"/>
  <c r="M55" i="2" s="1"/>
  <c r="G94" i="2"/>
  <c r="I28" i="2"/>
  <c r="H54" i="2" s="1"/>
  <c r="J54" i="2" s="1"/>
  <c r="O54" i="2" s="1"/>
  <c r="O55" i="2" s="1"/>
  <c r="M60" i="2" l="1"/>
  <c r="O77" i="2"/>
  <c r="G96" i="2"/>
  <c r="M63" i="2" s="1"/>
  <c r="M64" i="2" s="1"/>
  <c r="G95" i="2"/>
  <c r="O80" i="2" s="1"/>
  <c r="O81" i="2" s="1"/>
  <c r="M66" i="2" l="1"/>
  <c r="M68" i="2" s="1"/>
  <c r="M71" i="2" s="1"/>
  <c r="M73" i="2" s="1"/>
  <c r="O82" i="2"/>
  <c r="O84" i="2" s="1"/>
  <c r="O87" i="2" s="1"/>
  <c r="O89" i="2" s="1"/>
  <c r="O91" i="2" l="1"/>
  <c r="G65" i="1"/>
  <c r="F65" i="1"/>
  <c r="D65" i="1"/>
  <c r="E64" i="1"/>
  <c r="E63" i="1"/>
  <c r="E62" i="1"/>
  <c r="E61" i="1"/>
  <c r="E60" i="1"/>
  <c r="D48" i="1"/>
  <c r="F46" i="1"/>
  <c r="F45" i="1"/>
  <c r="L33" i="1"/>
  <c r="I33" i="1"/>
  <c r="J33" i="1" s="1"/>
  <c r="L32" i="1"/>
  <c r="I32" i="1"/>
  <c r="J32" i="1" s="1"/>
  <c r="L31" i="1"/>
  <c r="I31" i="1"/>
  <c r="J31" i="1" s="1"/>
  <c r="L30" i="1"/>
  <c r="I30" i="1"/>
  <c r="J30" i="1" s="1"/>
  <c r="L29" i="1"/>
  <c r="I29" i="1"/>
  <c r="J29" i="1" s="1"/>
  <c r="L28" i="1"/>
  <c r="I28" i="1"/>
  <c r="J28" i="1" s="1"/>
  <c r="L27" i="1"/>
  <c r="I27" i="1"/>
  <c r="J27" i="1" s="1"/>
  <c r="L26" i="1"/>
  <c r="I26" i="1"/>
  <c r="J26" i="1" s="1"/>
  <c r="L25" i="1"/>
  <c r="I25" i="1"/>
  <c r="J25" i="1" s="1"/>
  <c r="L24" i="1"/>
  <c r="I24" i="1"/>
  <c r="J24" i="1" s="1"/>
  <c r="G66" i="1" l="1"/>
  <c r="F48" i="1"/>
  <c r="L34" i="1"/>
  <c r="J34" i="1"/>
  <c r="J36" i="1" s="1"/>
  <c r="E78" i="1" l="1"/>
  <c r="E79" i="1" s="1"/>
  <c r="E81" i="1"/>
  <c r="E87" i="1" l="1"/>
  <c r="E88" i="1" s="1"/>
  <c r="E89" i="1" s="1"/>
  <c r="E90" i="1" s="1"/>
  <c r="E92" i="1" s="1"/>
  <c r="E93" i="1" s="1"/>
  <c r="E94" i="1" s="1"/>
  <c r="E80" i="1"/>
  <c r="E82" i="1" s="1"/>
  <c r="E83" i="1" s="1"/>
  <c r="E84" i="1" s="1"/>
  <c r="E96" i="1" l="1"/>
</calcChain>
</file>

<file path=xl/sharedStrings.xml><?xml version="1.0" encoding="utf-8"?>
<sst xmlns="http://schemas.openxmlformats.org/spreadsheetml/2006/main" count="286" uniqueCount="242">
  <si>
    <t>GASB 101 Leave Estimate</t>
  </si>
  <si>
    <t>1. Employees earn 1 day of sick leave for each month worked which can be carried over to future fiscal years.</t>
  </si>
  <si>
    <t>3. The government does not contribute to the defined contribution plan for amounts paid out at termination.</t>
  </si>
  <si>
    <t>A</t>
  </si>
  <si>
    <t>B</t>
  </si>
  <si>
    <t>C</t>
  </si>
  <si>
    <t>D</t>
  </si>
  <si>
    <t>E</t>
  </si>
  <si>
    <t>F (Sum A thru E)</t>
  </si>
  <si>
    <t>G (F/5 years)</t>
  </si>
  <si>
    <t>Calculated</t>
  </si>
  <si>
    <t>Average annual</t>
  </si>
  <si>
    <t>average</t>
  </si>
  <si>
    <t>20X1</t>
  </si>
  <si>
    <t>20X2</t>
  </si>
  <si>
    <t>20X3</t>
  </si>
  <si>
    <t>20X4</t>
  </si>
  <si>
    <t>20X5</t>
  </si>
  <si>
    <t>Total days used</t>
  </si>
  <si>
    <t>use (days)</t>
  </si>
  <si>
    <t>Annual salary</t>
  </si>
  <si>
    <t>hourly rate</t>
  </si>
  <si>
    <t>Active employee 1</t>
  </si>
  <si>
    <t>Active employee 2</t>
  </si>
  <si>
    <t>Active employee 3</t>
  </si>
  <si>
    <t>Active employee 4</t>
  </si>
  <si>
    <t>Active employee 5</t>
  </si>
  <si>
    <t>Active employee 6</t>
  </si>
  <si>
    <t>Active employee 7</t>
  </si>
  <si>
    <t>Active employee 8</t>
  </si>
  <si>
    <t>Active employee 9</t>
  </si>
  <si>
    <t>Active employee 10</t>
  </si>
  <si>
    <t xml:space="preserve">Average </t>
  </si>
  <si>
    <t>Average hourly rate</t>
  </si>
  <si>
    <t>I</t>
  </si>
  <si>
    <t>Average days used (12 days awarded per year)</t>
  </si>
  <si>
    <t>H</t>
  </si>
  <si>
    <t>Salary-related payments</t>
  </si>
  <si>
    <t>For leave that is settled in cash</t>
  </si>
  <si>
    <t>Social Security (6.2%)</t>
  </si>
  <si>
    <t>Medicare (1.45%)</t>
  </si>
  <si>
    <t>457b DC plan (5%)</t>
  </si>
  <si>
    <t>Total % of salary related payments</t>
  </si>
  <si>
    <t>Years of service</t>
  </si>
  <si>
    <t>Eligible for cash settlement (&gt;= XX years)</t>
  </si>
  <si>
    <t>Sick days settled as cash at termination</t>
  </si>
  <si>
    <t>Accumulated (unused) sick days as of date of termination</t>
  </si>
  <si>
    <t>Totals</t>
  </si>
  <si>
    <t>% of days paid as cash settlement at termination to total days accumulated</t>
  </si>
  <si>
    <t>L</t>
  </si>
  <si>
    <t>M (H above)</t>
  </si>
  <si>
    <t>P (I above)</t>
  </si>
  <si>
    <t>S (Q+R)</t>
  </si>
  <si>
    <t>More likely than not sick leave to be used (days)</t>
  </si>
  <si>
    <t>Sick leave for use (hours)</t>
  </si>
  <si>
    <t>Average hourly rate at FYE</t>
  </si>
  <si>
    <t>Liability for sick leave for use as time off</t>
  </si>
  <si>
    <t>Salary-related liability related to sick leave for use as time off</t>
  </si>
  <si>
    <t>Total liability for sick leave to be used as time off</t>
  </si>
  <si>
    <t>Maximum - sick leave to be settled in cash (days)</t>
  </si>
  <si>
    <t>More likely than not -  sick leave to be settled in cash (days)</t>
  </si>
  <si>
    <t>Sick leave to be settled in cash (hours)</t>
  </si>
  <si>
    <t>Sick leave to be settled in cash ($)</t>
  </si>
  <si>
    <t>Salary-related liability related to sick settled in cash</t>
  </si>
  <si>
    <t>Total liability for sick leave to be settled in cash</t>
  </si>
  <si>
    <t>Total liability for compensated absences - sick leave</t>
  </si>
  <si>
    <t>Aggregate Employee Group</t>
  </si>
  <si>
    <t>K</t>
  </si>
  <si>
    <t>J1</t>
  </si>
  <si>
    <t>J2</t>
  </si>
  <si>
    <t>Percentage use as leave</t>
  </si>
  <si>
    <t>Cap on cash settlement? If none, enter 100%</t>
  </si>
  <si>
    <t>X</t>
  </si>
  <si>
    <t>Y (W x X)</t>
  </si>
  <si>
    <t>N (L x M)</t>
  </si>
  <si>
    <t>O (N x 8 hours)</t>
  </si>
  <si>
    <t>Q (O x P)</t>
  </si>
  <si>
    <t>R (Q x J1)</t>
  </si>
  <si>
    <t>Z (Y x J2)</t>
  </si>
  <si>
    <t>AA</t>
  </si>
  <si>
    <t>BB (S + AA)</t>
  </si>
  <si>
    <t>Sick leave to be settled in cash, after cap</t>
  </si>
  <si>
    <t>Assumptions used in the example below</t>
  </si>
  <si>
    <t>Historical days of leave used and pay rates</t>
  </si>
  <si>
    <t>Sick days awarded each year</t>
  </si>
  <si>
    <t>To estimate the amount of sick leave more likely than not to be used as time off, governments can examine how their current workforce has used sick leave in the past to develop trends.</t>
  </si>
  <si>
    <t>Sick days used as time off</t>
  </si>
  <si>
    <t>In this template, cells highlighted in yellow are formulas; unhighlighted cells require data input.</t>
  </si>
  <si>
    <t>In this example, for sick leave that is used as time off, the government would need to make Social Security and Medicare payments as well as the employer contribution to the defined contribution pension plan, totaling 12.65 percent. The same holds true for any other salary-related payments that are material. Also in this example, since the government does not contribute to the defined contribution pension plan for sick leave settled in cash, only 7.65 percent of the cash payment is added as a salary-related payment.</t>
  </si>
  <si>
    <t>The measurement of a compensated absence liability for leave should include an amount for salary-related payments.</t>
  </si>
  <si>
    <t>For leave that is used as time off</t>
  </si>
  <si>
    <t>Calculate the salary-related payments applicable to sick leave used as time off and sick leave settled in cash.</t>
  </si>
  <si>
    <t>V (U x 8 hours)</t>
  </si>
  <si>
    <t>W (V x P)</t>
  </si>
  <si>
    <t>For the aggregate employee group:
- Calculate liability for sick leave more likely than not to be used.
- Calculate liability for sick leave more likely than not to be settled in cash.</t>
  </si>
  <si>
    <t>U (T x K)</t>
  </si>
  <si>
    <t>T (L - N)</t>
  </si>
  <si>
    <t>Former employee #1</t>
  </si>
  <si>
    <t>Former employee #2</t>
  </si>
  <si>
    <t>Former employee #3</t>
  </si>
  <si>
    <t>Former employee #4</t>
  </si>
  <si>
    <t>Former employee #5</t>
  </si>
  <si>
    <t xml:space="preserve">Governments will need to estimate the proportion of the total days accumulated that is more likely than not to be settled in cash upon termination based on those policies and historical information available. </t>
  </si>
  <si>
    <t>Identify the days settled in cash for a sample of former employees and identify the days accumulated as of the date of termination for those former employees. 
Calculate the percentage of days settled in cash to days accumulated.</t>
  </si>
  <si>
    <t>Average employee years of service upon termination (cash settlement rate)</t>
  </si>
  <si>
    <t>Total sick leave accrued at FYE (days), for aggregate employee group</t>
  </si>
  <si>
    <t>In the example below, the ten active sampled employees used on average 5.02 days per year as sick time, which based on the number of days awarded each year (12), translates to a 41.83% usage rate. The sampled employees average hourly rate is $37.36</t>
  </si>
  <si>
    <t>Enter number of years for eligibility =&gt;</t>
  </si>
  <si>
    <t>Calculation of compensated absences for sick leave</t>
  </si>
  <si>
    <t>Governments will need the total number of accumulated unused sick days for all active employees – the aggregate employee group – as of the reporting date, which in this example is assumed to be 1,644 days. Note that if different policies applied to different groups of employees, estimates should be done for each group individually, if the difference from an overall average would be material.</t>
  </si>
  <si>
    <t>1. Calculation related to sick leave to be used as time off</t>
  </si>
  <si>
    <t>2. Calculation of sick leave to be settled in cash</t>
  </si>
  <si>
    <t>The average proportion of sick days used is applied to the total of accumulated unused sick days to calculate the estimated number of sick days that are more likely than not to be used as time off, 688 days or 5,504 hours.</t>
  </si>
  <si>
    <t xml:space="preserve">Applying the average hourly rate calculated above, the value of the sick leave to be used as time off, before salary-related payments, is $205,629 </t>
  </si>
  <si>
    <t>For sick leave that is used as time off, the government would need to make Social Security, Medicare payments as well as the employer contribution to the defined contribution pension plan, totaling 12.65%.</t>
  </si>
  <si>
    <t>After adding the value of salary-related payments, $26,012 ($205,629 x 12.65%), the total liability for sick time more likely than not to be used as time off is $231,641.</t>
  </si>
  <si>
    <t xml:space="preserve">Total amount of unused sick days for all employees as of the reporting date. </t>
  </si>
  <si>
    <t>The aggregate employee group (the current active employees) accumulated 1,644 sick days as of the reporting date, of which 688 days were estimated to be used as sick time, leaving 956 days for a potential cash settlement.</t>
  </si>
  <si>
    <t>Applying the cash settlement rate to the estimated number of unused days, yields the number of days more likely than not to be settled in cash. In this example, the government has estimated that 784 days (6,272 hours) are more likely than not to be settled in cash.</t>
  </si>
  <si>
    <t>Explanations</t>
  </si>
  <si>
    <t>Calculations</t>
  </si>
  <si>
    <t>References</t>
  </si>
  <si>
    <t xml:space="preserve">The government does not contribute to the defined contribution pension plan for sick leave settled in cash, only 7.65 percent of the capped amount, $5,378, is added to the liability as salary-related payments. </t>
  </si>
  <si>
    <t>The government’s total estimated liability for sick leave to be settled in cash is $75,675.</t>
  </si>
  <si>
    <t>C
(A + B)/2</t>
  </si>
  <si>
    <t>E
(C x 8)</t>
  </si>
  <si>
    <t>Hourly rate at hire date</t>
  </si>
  <si>
    <t>Hourly rate at termination date</t>
  </si>
  <si>
    <t>Daily pay rate at date of termination</t>
  </si>
  <si>
    <t>Average daily pay</t>
  </si>
  <si>
    <t>Accumulated unused sick leave (days)</t>
  </si>
  <si>
    <t>SAMPLE</t>
  </si>
  <si>
    <t>Data from Sick Leave Tracking</t>
  </si>
  <si>
    <t>Sick leave used (days)</t>
  </si>
  <si>
    <t>Present value factor</t>
  </si>
  <si>
    <t>Sick leave settled in cash in today's dollars</t>
  </si>
  <si>
    <t>Sick leave used in today's dollars</t>
  </si>
  <si>
    <t>M</t>
  </si>
  <si>
    <t>Total days settled in cash for sample of former employees</t>
  </si>
  <si>
    <t>Average settlement in cash per day paid out</t>
  </si>
  <si>
    <t>Total sick leave accrued at FYE for active employees (days)</t>
  </si>
  <si>
    <t>Percentage of days more likely than not to be settled in cash</t>
  </si>
  <si>
    <t>Days more likely than not to be settled in cash</t>
  </si>
  <si>
    <t>Projected sick leave to be settled in cash for active employees</t>
  </si>
  <si>
    <r>
      <t>Assume lower average salary level of active employees</t>
    </r>
    <r>
      <rPr>
        <b/>
        <sz val="11"/>
        <color rgb="FF0000FF"/>
        <rFont val="Aptos Narrow"/>
        <family val="2"/>
        <scheme val="minor"/>
      </rPr>
      <t xml:space="preserve"> </t>
    </r>
  </si>
  <si>
    <t>Projected payout for active employees, at assumed lower rates</t>
  </si>
  <si>
    <t>Salary-related payment percentage applicable to sick leave settled in cash</t>
  </si>
  <si>
    <t>Totals liability for sick leave to be settled in cash</t>
  </si>
  <si>
    <t>Total days used as sick leave for sample of former employees</t>
  </si>
  <si>
    <t>Average value for day used for sample of former employees</t>
  </si>
  <si>
    <t>Percentage of days used to days earned for sample of former employees</t>
  </si>
  <si>
    <t>Days more likely than not to be used as sick leave</t>
  </si>
  <si>
    <t>Projected value for days more likely to be used by active employees</t>
  </si>
  <si>
    <t>Estimated value of sick leave used applied to active employees</t>
  </si>
  <si>
    <t>Salary-related payment percentage applicable to sick leave used</t>
  </si>
  <si>
    <t>Total liability for estimated sick leave to be used</t>
  </si>
  <si>
    <t>Total compensated absences liability related to sick leave at FYE</t>
  </si>
  <si>
    <t>Total days earned over service of years for sample of former employees</t>
  </si>
  <si>
    <t>Percentage of days used to days earned</t>
  </si>
  <si>
    <t>Percentage of days settled in cash at termination to days earned</t>
  </si>
  <si>
    <t>Enter interest rate =&gt;</t>
  </si>
  <si>
    <t>G</t>
  </si>
  <si>
    <t>J</t>
  </si>
  <si>
    <t>N</t>
  </si>
  <si>
    <t>O</t>
  </si>
  <si>
    <t>D
(B x 8)</t>
  </si>
  <si>
    <t>From employee records</t>
  </si>
  <si>
    <t>From payroll</t>
  </si>
  <si>
    <t>Years since payment (from employee records)</t>
  </si>
  <si>
    <t>P</t>
  </si>
  <si>
    <t>Q</t>
  </si>
  <si>
    <t>R</t>
  </si>
  <si>
    <t>S</t>
  </si>
  <si>
    <t>F1</t>
  </si>
  <si>
    <t>F2</t>
  </si>
  <si>
    <t>EE</t>
  </si>
  <si>
    <t>(From records)</t>
  </si>
  <si>
    <t>(From D above)</t>
  </si>
  <si>
    <t>(From E above)</t>
  </si>
  <si>
    <t>(I x L)</t>
  </si>
  <si>
    <t>(Interest Rate ^ O)</t>
  </si>
  <si>
    <t>(M x P)</t>
  </si>
  <si>
    <t>(N x P)</t>
  </si>
  <si>
    <t>U (S / T)</t>
  </si>
  <si>
    <t>V (from records)</t>
  </si>
  <si>
    <t>H1</t>
  </si>
  <si>
    <t>I1</t>
  </si>
  <si>
    <t>RR (H1 + I1)</t>
  </si>
  <si>
    <t>SS (RR / I1)</t>
  </si>
  <si>
    <t>TT (J1 / SS)</t>
  </si>
  <si>
    <t>T (sum of J1)</t>
  </si>
  <si>
    <t>W (from TT below)</t>
  </si>
  <si>
    <t>X (V x W)</t>
  </si>
  <si>
    <t>Y (U x X)</t>
  </si>
  <si>
    <t>Z (Mgmt assumption)</t>
  </si>
  <si>
    <t>AA (Y x Z)</t>
  </si>
  <si>
    <t>BB (from F2 above)</t>
  </si>
  <si>
    <t>CC (AA x BB)</t>
  </si>
  <si>
    <t>DD (AA + CC)</t>
  </si>
  <si>
    <t>Days used approach</t>
  </si>
  <si>
    <t>FF (from I1 above)</t>
  </si>
  <si>
    <t>GG (EE / FF)</t>
  </si>
  <si>
    <t>HH (from records)</t>
  </si>
  <si>
    <t>II (from SS below)</t>
  </si>
  <si>
    <t>JJ (HH x II)</t>
  </si>
  <si>
    <t>KK (GG x JJ)</t>
  </si>
  <si>
    <t>LL (Mgmt assumption)</t>
  </si>
  <si>
    <t>MM (KK x LL)</t>
  </si>
  <si>
    <t>NN (from F1 above)</t>
  </si>
  <si>
    <t>OO (MM x NN)</t>
  </si>
  <si>
    <t>PP (MM + OO)</t>
  </si>
  <si>
    <t>QQ (DD + PP)</t>
  </si>
  <si>
    <t>Cap %, if none then 100% =&gt;</t>
  </si>
  <si>
    <t>The dollars-paid approach as shown in GAAFR Chapter 28 for estimating compensated absences for sick leave paid is based on cash settlements made to terminated employees. With some modifications, this approach can be used to estimate the amount of sick leave that, more likely than not, will be used as time off. Governments can develop average rates of pay to apply to the current active employees and convert past payments to the current dollars as the basis for calculating an estimated liability in the current period.</t>
  </si>
  <si>
    <t xml:space="preserve">Cash payments for leave used for time off occurs at different times during an employee’s years of service, at different pay rates. The dollars-paid approach uses an average pay rate to measure the former employee’s estimated amount of sick leave used for time off. Governments will need to gather the following information for the sampled former employees:
• Salary information
• Years of service, 
• Number of unused sick leave days at the date of termination, 
• Number of sick leave days used during their time as active employees, and 
• Dollar amount of sick leave settled in cash at termination. </t>
  </si>
  <si>
    <t>(If G=&gt; 10 yrs, (J x cap%) x K)</t>
  </si>
  <si>
    <t>((G x 12 months)-H)</t>
  </si>
  <si>
    <t>(if G=&gt; 10 yrs, use H, H is limited to 150 days)</t>
  </si>
  <si>
    <t>Sick leave settled in cash</t>
  </si>
  <si>
    <t>Estimated value of leave used</t>
  </si>
  <si>
    <t>Sick leave days settled in cash</t>
  </si>
  <si>
    <t>4. The current active employees' pay rates are based on experience levels associated with 80% of the value of the sampled terminated employees.</t>
  </si>
  <si>
    <t>5. The present value factor assumes interest rate of 3.25%</t>
  </si>
  <si>
    <t>Enter months =&gt;</t>
  </si>
  <si>
    <t>&lt;= Enter years</t>
  </si>
  <si>
    <t>1. Converting former employee information to today's dollars and calculating ratios of usage to apply to current workforce</t>
  </si>
  <si>
    <t>3. Calculation related to sick leave to be used as time off</t>
  </si>
  <si>
    <t>Dollars-paid approach</t>
  </si>
  <si>
    <r>
      <t>Governments should choose a representative sample of former employees to estimate proportions of leave time used and leave time settled as cash at term</t>
    </r>
    <r>
      <rPr>
        <sz val="11"/>
        <rFont val="Aptos Narrow"/>
        <family val="2"/>
        <scheme val="minor"/>
      </rPr>
      <t xml:space="preserve">ination. The size of the sample is a matter of professional judgement, and statistical validity may be a consideration. In this example, a sample size of 5 is used. </t>
    </r>
    <r>
      <rPr>
        <sz val="11"/>
        <color theme="1"/>
        <rFont val="Aptos Narrow"/>
        <family val="2"/>
        <scheme val="minor"/>
      </rPr>
      <t>Due to differences in contracts and work groups, a one-size-fits-all sample may not be appropriate. Rather, the calculations could be performed for each employee group and then aggregated, if the result would be materially different from using an overall average.</t>
    </r>
  </si>
  <si>
    <r>
      <t>3. The government does not contribute to the de</t>
    </r>
    <r>
      <rPr>
        <sz val="11"/>
        <rFont val="Aptos Narrow"/>
        <family val="2"/>
        <scheme val="minor"/>
      </rPr>
      <t>fined contribution plan for cash settlements made</t>
    </r>
    <r>
      <rPr>
        <sz val="11"/>
        <color theme="1"/>
        <rFont val="Aptos Narrow"/>
        <family val="2"/>
        <scheme val="minor"/>
      </rPr>
      <t xml:space="preserve"> at termination.</t>
    </r>
  </si>
  <si>
    <t>Former employee pay information</t>
  </si>
  <si>
    <t>Calculate the average hourly and daily pay rates and pay rates at termination of employment for sampled former employees.</t>
  </si>
  <si>
    <r>
      <t>2. Employees w</t>
    </r>
    <r>
      <rPr>
        <sz val="11"/>
        <rFont val="Aptos Narrow"/>
        <family val="2"/>
        <scheme val="minor"/>
      </rPr>
      <t>ith credited</t>
    </r>
    <r>
      <rPr>
        <sz val="11"/>
        <color theme="1"/>
        <rFont val="Aptos Narrow"/>
        <family val="2"/>
        <scheme val="minor"/>
      </rPr>
      <t xml:space="preserve"> service years of 10 or more, are paid in cash</t>
    </r>
    <r>
      <rPr>
        <sz val="11"/>
        <rFont val="Aptos Narrow"/>
        <family val="2"/>
        <scheme val="minor"/>
      </rPr>
      <t xml:space="preserve"> (cash settlement) for 30 percent of their unused sick leave, up to a maximum</t>
    </r>
    <r>
      <rPr>
        <sz val="11"/>
        <color theme="1"/>
        <rFont val="Aptos Narrow"/>
        <family val="2"/>
        <scheme val="minor"/>
      </rPr>
      <t xml:space="preserve"> of 150 days, upon termination of employment, at their hourly rate at the time of termination.</t>
    </r>
  </si>
  <si>
    <r>
      <rPr>
        <b/>
        <sz val="11"/>
        <color rgb="FF0000FF"/>
        <rFont val="Aptos Narrow"/>
        <family val="2"/>
        <scheme val="minor"/>
      </rPr>
      <t>Calculate:</t>
    </r>
    <r>
      <rPr>
        <sz val="11"/>
        <color rgb="FF0000FF"/>
        <rFont val="Aptos Narrow"/>
        <family val="2"/>
        <scheme val="minor"/>
      </rPr>
      <t xml:space="preserve">
- The average days used as sick time</t>
    </r>
    <r>
      <rPr>
        <sz val="11"/>
        <color rgb="FFFF0000"/>
        <rFont val="Aptos Narrow"/>
        <family val="2"/>
        <scheme val="minor"/>
      </rPr>
      <t xml:space="preserve"> </t>
    </r>
    <r>
      <rPr>
        <sz val="11"/>
        <color rgb="FF0000FF"/>
        <rFont val="Aptos Narrow"/>
        <family val="2"/>
        <scheme val="minor"/>
      </rPr>
      <t>for a sample of active employees. 
- The % of average days used to days awarded. 
- The average hourly rate for sample of active employees.</t>
    </r>
  </si>
  <si>
    <t>2. Employees with credited service years of 10 or more, are paid in cash (cash settlement) for 30 percent of their unused sick leave, up to a maximum of 150 days, upon termination of employment, at their hourly rate at the time of termination.</t>
  </si>
  <si>
    <r>
      <t>Governments can use a representative sample of active employees to determine the number of sick days used in past years (the number of historical years used is dependent on the availability of information) and their hourly pay rate at the end of the reporting period (unless (1) some or all of the leave is more likely than not to be paid at a rate different from the employee’s pay rate at the time the payment is</t>
    </r>
    <r>
      <rPr>
        <sz val="11"/>
        <rFont val="Aptos Narrow"/>
        <family val="2"/>
        <scheme val="minor"/>
      </rPr>
      <t xml:space="preserve"> made, such as if the government's policy is to settle at 50% of the final salary (note that future salary changes should </t>
    </r>
    <r>
      <rPr>
        <b/>
        <sz val="11"/>
        <rFont val="Aptos Narrow"/>
        <family val="2"/>
        <scheme val="minor"/>
      </rPr>
      <t>not</t>
    </r>
    <r>
      <rPr>
        <sz val="11"/>
        <rFont val="Aptos Narrow"/>
        <family val="2"/>
        <scheme val="minor"/>
      </rPr>
      <t xml:space="preserve"> be factored into this determination),  (2) the leave is not attributable to a specific employee at the end of the reporting period (e.g., leave donated to a shared employee leave pool), or (3) some or all of the leave is more likely than not to be settled through noncash means other than conversion to defined benefit postemployment benefits using a rate other than the employee's pay rate at time settlement is made. If a different rate is more likely than not to be applicable, use that rate.</t>
    </r>
  </si>
  <si>
    <t>SAMPLE active employees</t>
  </si>
  <si>
    <r>
      <t>Governments, like the one in this example, may have caps on the amount of sick time that will be settled in cash at termination, and cash settlement may only be payable to employees who meet the required number of years of service. Like in estimating an OPEB liability wh</t>
    </r>
    <r>
      <rPr>
        <sz val="11"/>
        <rFont val="Aptos Narrow"/>
        <family val="2"/>
        <scheme val="minor"/>
      </rPr>
      <t>ere governments analyze how many employees participate in the benefit program, governments should analyze if all current employees will be eligible for a cash settlement and if employees have accumulated time in excess of the policy’s cap in estimating the amount more likely than not to be settled in cash</t>
    </r>
    <r>
      <rPr>
        <sz val="11"/>
        <color theme="1"/>
        <rFont val="Aptos Narrow"/>
        <family val="2"/>
        <scheme val="minor"/>
      </rPr>
      <t>.</t>
    </r>
  </si>
  <si>
    <r>
      <t>In this example, a sample of five former employees was selected to determine a cash settlement ra</t>
    </r>
    <r>
      <rPr>
        <sz val="11"/>
        <rFont val="Aptos Narrow"/>
        <family val="2"/>
        <scheme val="minor"/>
      </rPr>
      <t xml:space="preserve">te. The size of the sample is a matter of professional judgement, and statistical validity may be a consideration. </t>
    </r>
    <r>
      <rPr>
        <sz val="11"/>
        <color theme="1"/>
        <rFont val="Aptos Narrow"/>
        <family val="2"/>
        <scheme val="minor"/>
      </rPr>
      <t>We assume that former employee #2, who accumulated 58 days, did not receive a cash settlement at termination because the years of service was less than the minimum required ten years. Additionally, we assume that former employees #1 and #4 accumulated more sick days than the maximum amount eligible (150 days) for cash settlement. The sampled former employees had accumulated 590 unused sick days at the time of termination, of which 485 days were settled in cash, resulting in a cash settlement rate of 82 percent.</t>
    </r>
  </si>
  <si>
    <r>
      <t>In this example, two calculations are re</t>
    </r>
    <r>
      <rPr>
        <sz val="11"/>
        <rFont val="Aptos Narrow"/>
        <family val="2"/>
        <scheme val="minor"/>
      </rPr>
      <t>quired to estimate the compensated absences liability for sick leave: (1) sick leave more likely than not</t>
    </r>
    <r>
      <rPr>
        <sz val="11"/>
        <color theme="1"/>
        <rFont val="Aptos Narrow"/>
        <family val="2"/>
        <scheme val="minor"/>
      </rPr>
      <t xml:space="preserve"> to be used as time off, and (2) sick leave </t>
    </r>
    <r>
      <rPr>
        <sz val="11"/>
        <rFont val="Aptos Narrow"/>
        <family val="2"/>
        <scheme val="minor"/>
      </rPr>
      <t>more likely than not to be settled in cash.</t>
    </r>
  </si>
  <si>
    <t>The  government will only pay 30 percent due to the cap included in the policy, $70,297</t>
  </si>
  <si>
    <t>The 6,272 hours multiplied by the average hourly rate of $37.36 results in an estimated payout of $234,322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</si>
</sst>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_(* #,##0_);_(* \(#,##0\);_(* &quot;-&quot;??_);_(@_)"/>
    <numFmt numFmtId="167" formatCode="0.0%"/>
    <numFmt numFmtId="168" formatCode="0.00000"/>
    <numFmt numFmtId="169" formatCode="_(* #,##0.0000_);_(* \(#,##0.0000\);_(* &quot;-&quot;??_);_(@_)"/>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rgb="FF0000FF"/>
      <name val="Aptos Narrow"/>
      <family val="2"/>
      <scheme val="minor"/>
    </font>
    <font>
      <b/>
      <sz val="11"/>
      <color rgb="FF0000FF"/>
      <name val="Aptos Narrow"/>
      <family val="2"/>
      <scheme val="minor"/>
    </font>
    <font>
      <b/>
      <u/>
      <sz val="11"/>
      <color theme="1"/>
      <name val="Aptos Narrow"/>
      <family val="2"/>
      <scheme val="minor"/>
    </font>
    <font>
      <b/>
      <sz val="11"/>
      <color rgb="FFFF0000"/>
      <name val="Aptos Narrow"/>
      <family val="2"/>
      <scheme val="minor"/>
    </font>
    <font>
      <b/>
      <u val="singleAccounting"/>
      <sz val="11"/>
      <color theme="1"/>
      <name val="Aptos Narrow"/>
      <family val="2"/>
      <scheme val="minor"/>
    </font>
    <font>
      <sz val="11"/>
      <name val="Aptos Narrow"/>
      <family val="2"/>
      <scheme val="minor"/>
    </font>
    <font>
      <u/>
      <sz val="11"/>
      <name val="Aptos Narrow"/>
      <family val="2"/>
      <scheme val="minor"/>
    </font>
    <font>
      <u val="singleAccounting"/>
      <sz val="11"/>
      <color theme="1"/>
      <name val="Aptos Narrow"/>
      <family val="2"/>
      <scheme val="minor"/>
    </font>
    <font>
      <u/>
      <sz val="11"/>
      <color theme="1"/>
      <name val="Aptos Narrow"/>
      <family val="2"/>
      <scheme val="minor"/>
    </font>
    <font>
      <sz val="10"/>
      <color theme="1"/>
      <name val="Palatino Linotype"/>
      <family val="1"/>
    </font>
    <font>
      <b/>
      <u/>
      <sz val="11"/>
      <name val="Aptos Narrow"/>
      <family val="2"/>
      <scheme val="minor"/>
    </font>
    <font>
      <b/>
      <u val="singleAccounting"/>
      <sz val="11"/>
      <color rgb="FF0000FF"/>
      <name val="Aptos Narrow"/>
      <family val="2"/>
      <scheme val="minor"/>
    </font>
    <font>
      <b/>
      <sz val="10"/>
      <color rgb="FF0000FF"/>
      <name val="Aptos Narrow"/>
      <family val="2"/>
      <scheme val="minor"/>
    </font>
    <font>
      <u val="singleAccounting"/>
      <sz val="11"/>
      <name val="Aptos Narrow"/>
      <family val="2"/>
      <scheme val="minor"/>
    </font>
    <font>
      <b/>
      <sz val="11"/>
      <name val="Aptos Narrow"/>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3" fillId="0" borderId="0" xfId="0" applyFont="1" applyAlignment="1">
      <alignment horizontal="left"/>
    </xf>
    <xf numFmtId="0" fontId="0" fillId="0" borderId="0" xfId="0" applyAlignment="1">
      <alignment horizontal="right"/>
    </xf>
    <xf numFmtId="0" fontId="3" fillId="0" borderId="0" xfId="0" applyFont="1"/>
    <xf numFmtId="0" fontId="3" fillId="0" borderId="0" xfId="0" applyFont="1" applyAlignment="1">
      <alignment horizontal="right"/>
    </xf>
    <xf numFmtId="0" fontId="0" fillId="0" borderId="0" xfId="0" applyAlignment="1">
      <alignment horizontal="left"/>
    </xf>
    <xf numFmtId="0" fontId="2" fillId="0" borderId="0" xfId="0" applyFont="1"/>
    <xf numFmtId="0" fontId="0" fillId="0" borderId="1" xfId="0" applyBorder="1"/>
    <xf numFmtId="0" fontId="0" fillId="0" borderId="1" xfId="0" applyBorder="1" applyAlignment="1">
      <alignment horizontal="right"/>
    </xf>
    <xf numFmtId="0" fontId="3" fillId="0" borderId="1" xfId="0" applyFont="1" applyBorder="1"/>
    <xf numFmtId="0" fontId="5"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0" borderId="0" xfId="0" applyFont="1" applyAlignment="1">
      <alignment horizontal="left"/>
    </xf>
    <xf numFmtId="0" fontId="3" fillId="0" borderId="0" xfId="0" applyFont="1" applyAlignment="1">
      <alignment horizontal="center"/>
    </xf>
    <xf numFmtId="0" fontId="2" fillId="0" borderId="0" xfId="0" applyFont="1" applyAlignment="1">
      <alignment horizontal="right" wrapText="1"/>
    </xf>
    <xf numFmtId="0" fontId="0" fillId="3" borderId="0" xfId="0" applyFill="1"/>
    <xf numFmtId="43" fontId="0" fillId="3" borderId="0" xfId="1" applyFont="1" applyFill="1"/>
    <xf numFmtId="165" fontId="0" fillId="0" borderId="0" xfId="2" applyNumberFormat="1" applyFont="1" applyFill="1"/>
    <xf numFmtId="44" fontId="0" fillId="3" borderId="0" xfId="2" applyFont="1" applyFill="1"/>
    <xf numFmtId="43" fontId="2" fillId="0" borderId="0" xfId="0" applyNumberFormat="1" applyFont="1"/>
    <xf numFmtId="166" fontId="0" fillId="0" borderId="0" xfId="1" applyNumberFormat="1" applyFont="1" applyFill="1"/>
    <xf numFmtId="10" fontId="2" fillId="0" borderId="0" xfId="3" applyNumberFormat="1" applyFont="1"/>
    <xf numFmtId="164" fontId="3" fillId="0" borderId="0" xfId="1" applyNumberFormat="1" applyFont="1" applyAlignment="1">
      <alignment horizontal="right"/>
    </xf>
    <xf numFmtId="43" fontId="3" fillId="3" borderId="3" xfId="1" applyFont="1" applyFill="1" applyBorder="1"/>
    <xf numFmtId="0" fontId="5" fillId="0" borderId="0" xfId="0" applyFont="1"/>
    <xf numFmtId="43" fontId="7" fillId="0" borderId="0" xfId="0" applyNumberFormat="1" applyFont="1"/>
    <xf numFmtId="9" fontId="2" fillId="0" borderId="0" xfId="3" applyFont="1" applyFill="1"/>
    <xf numFmtId="167" fontId="7" fillId="0" borderId="0" xfId="3" applyNumberFormat="1" applyFont="1" applyFill="1"/>
    <xf numFmtId="0" fontId="7" fillId="0" borderId="0" xfId="0" applyFont="1" applyAlignment="1">
      <alignment horizontal="right"/>
    </xf>
    <xf numFmtId="10" fontId="5" fillId="0" borderId="0" xfId="3" applyNumberFormat="1" applyFont="1"/>
    <xf numFmtId="44" fontId="0" fillId="0" borderId="0" xfId="0" applyNumberFormat="1"/>
    <xf numFmtId="0" fontId="7" fillId="0" borderId="0" xfId="0" applyFont="1"/>
    <xf numFmtId="0" fontId="0" fillId="0" borderId="2" xfId="0" applyBorder="1"/>
    <xf numFmtId="43" fontId="7" fillId="0" borderId="0" xfId="1" applyFont="1"/>
    <xf numFmtId="167" fontId="7" fillId="0" borderId="0" xfId="3" applyNumberFormat="1" applyFont="1"/>
    <xf numFmtId="0" fontId="8" fillId="0" borderId="0" xfId="0" applyFont="1" applyAlignment="1">
      <alignment horizontal="center" wrapText="1"/>
    </xf>
    <xf numFmtId="10" fontId="9" fillId="0" borderId="0" xfId="3" applyNumberFormat="1" applyFont="1" applyBorder="1" applyAlignment="1">
      <alignment horizontal="right"/>
    </xf>
    <xf numFmtId="10" fontId="10" fillId="0" borderId="0" xfId="3" applyNumberFormat="1" applyFont="1" applyBorder="1" applyAlignment="1">
      <alignment horizontal="right"/>
    </xf>
    <xf numFmtId="10" fontId="7" fillId="3" borderId="0" xfId="0" applyNumberFormat="1" applyFont="1" applyFill="1" applyAlignment="1">
      <alignment horizontal="right"/>
    </xf>
    <xf numFmtId="0" fontId="11" fillId="0" borderId="0" xfId="0" applyFont="1" applyAlignment="1">
      <alignment horizontal="center" wrapText="1"/>
    </xf>
    <xf numFmtId="0" fontId="4" fillId="0" borderId="0" xfId="0" applyFont="1" applyAlignment="1">
      <alignment horizontal="center" vertical="center" wrapText="1"/>
    </xf>
    <xf numFmtId="41" fontId="0" fillId="0" borderId="0" xfId="1" applyNumberFormat="1" applyFont="1" applyFill="1"/>
    <xf numFmtId="43" fontId="0" fillId="3" borderId="0" xfId="1" applyFont="1" applyFill="1" applyBorder="1" applyAlignment="1">
      <alignment horizontal="center"/>
    </xf>
    <xf numFmtId="41" fontId="12" fillId="0" borderId="0" xfId="1" applyNumberFormat="1" applyFont="1" applyFill="1"/>
    <xf numFmtId="41" fontId="0" fillId="3" borderId="0" xfId="0" applyNumberFormat="1" applyFill="1"/>
    <xf numFmtId="9" fontId="0" fillId="0" borderId="0" xfId="3" applyFont="1"/>
    <xf numFmtId="0" fontId="7" fillId="0" borderId="0" xfId="0" applyFont="1" applyAlignment="1">
      <alignment horizontal="center"/>
    </xf>
    <xf numFmtId="0" fontId="0" fillId="0" borderId="0" xfId="0" applyAlignment="1">
      <alignment horizontal="right" wrapText="1"/>
    </xf>
    <xf numFmtId="0" fontId="3" fillId="0" borderId="0" xfId="0" applyFont="1" applyAlignment="1">
      <alignment horizontal="right" wrapText="1"/>
    </xf>
    <xf numFmtId="0" fontId="3" fillId="0" borderId="0" xfId="0" applyFont="1" applyAlignment="1">
      <alignment wrapText="1"/>
    </xf>
    <xf numFmtId="1" fontId="0" fillId="0" borderId="0" xfId="0" applyNumberFormat="1"/>
    <xf numFmtId="165" fontId="0" fillId="0" borderId="0" xfId="2" applyNumberFormat="1" applyFont="1" applyFill="1" applyBorder="1"/>
    <xf numFmtId="165" fontId="0" fillId="0" borderId="0" xfId="0" applyNumberFormat="1"/>
    <xf numFmtId="165" fontId="3" fillId="0" borderId="0" xfId="0" applyNumberFormat="1" applyFont="1"/>
    <xf numFmtId="168" fontId="0" fillId="0" borderId="0" xfId="0" applyNumberFormat="1"/>
    <xf numFmtId="44" fontId="0" fillId="0" borderId="0" xfId="2" quotePrefix="1" applyFont="1" applyFill="1"/>
    <xf numFmtId="0" fontId="5" fillId="0" borderId="0" xfId="0" applyFont="1" applyAlignment="1">
      <alignment horizontal="left"/>
    </xf>
    <xf numFmtId="44" fontId="9" fillId="3" borderId="0" xfId="2" quotePrefix="1" applyFont="1" applyFill="1"/>
    <xf numFmtId="0" fontId="6" fillId="0" borderId="0" xfId="0" applyFont="1" applyAlignment="1">
      <alignment horizontal="left"/>
    </xf>
    <xf numFmtId="43" fontId="3" fillId="0" borderId="0" xfId="1" applyFont="1"/>
    <xf numFmtId="164" fontId="0" fillId="0" borderId="0" xfId="0" applyNumberFormat="1"/>
    <xf numFmtId="0" fontId="3" fillId="0" borderId="2" xfId="0" applyFont="1" applyBorder="1" applyAlignment="1">
      <alignment horizontal="centerContinuous"/>
    </xf>
    <xf numFmtId="0" fontId="11" fillId="0" borderId="0" xfId="0" applyFont="1" applyAlignment="1">
      <alignment horizontal="right" wrapText="1"/>
    </xf>
    <xf numFmtId="0" fontId="11" fillId="0" borderId="0" xfId="0" applyFont="1" applyAlignment="1">
      <alignment horizontal="right"/>
    </xf>
    <xf numFmtId="10" fontId="5" fillId="0" borderId="0" xfId="3" applyNumberFormat="1" applyFont="1" applyBorder="1" applyAlignment="1">
      <alignment horizontal="left"/>
    </xf>
    <xf numFmtId="165" fontId="3" fillId="3" borderId="4" xfId="0" applyNumberFormat="1" applyFont="1" applyFill="1" applyBorder="1"/>
    <xf numFmtId="0" fontId="13" fillId="0" borderId="0" xfId="0" applyFont="1"/>
    <xf numFmtId="0" fontId="14" fillId="0" borderId="0" xfId="0" applyFont="1" applyAlignment="1">
      <alignment horizontal="left"/>
    </xf>
    <xf numFmtId="10" fontId="9" fillId="3" borderId="12" xfId="0" quotePrefix="1" applyNumberFormat="1" applyFont="1" applyFill="1" applyBorder="1"/>
    <xf numFmtId="0" fontId="5" fillId="0" borderId="1" xfId="0" applyFont="1" applyBorder="1" applyAlignment="1">
      <alignment horizontal="left"/>
    </xf>
    <xf numFmtId="166" fontId="9" fillId="3" borderId="7" xfId="1" quotePrefix="1" applyNumberFormat="1" applyFont="1" applyFill="1" applyBorder="1"/>
    <xf numFmtId="166" fontId="0" fillId="3" borderId="10" xfId="1" applyNumberFormat="1" applyFont="1" applyFill="1" applyBorder="1"/>
    <xf numFmtId="0" fontId="5" fillId="0" borderId="2" xfId="0" applyFont="1" applyBorder="1" applyAlignment="1">
      <alignment horizontal="left"/>
    </xf>
    <xf numFmtId="165" fontId="9" fillId="3" borderId="5" xfId="2" applyNumberFormat="1" applyFont="1" applyFill="1" applyBorder="1"/>
    <xf numFmtId="0" fontId="5" fillId="0" borderId="3" xfId="0" applyFont="1" applyBorder="1" applyAlignment="1">
      <alignment horizontal="left"/>
    </xf>
    <xf numFmtId="165" fontId="0" fillId="3" borderId="5" xfId="2" quotePrefix="1" applyNumberFormat="1" applyFont="1" applyFill="1" applyBorder="1"/>
    <xf numFmtId="165" fontId="3" fillId="3" borderId="5" xfId="0" applyNumberFormat="1" applyFont="1" applyFill="1" applyBorder="1"/>
    <xf numFmtId="166" fontId="0" fillId="0" borderId="5" xfId="0" applyNumberFormat="1" applyBorder="1"/>
    <xf numFmtId="0" fontId="0" fillId="0" borderId="3" xfId="0" applyBorder="1"/>
    <xf numFmtId="0" fontId="0" fillId="0" borderId="6" xfId="0" applyBorder="1"/>
    <xf numFmtId="0" fontId="3" fillId="0" borderId="5" xfId="0" applyFont="1" applyBorder="1"/>
    <xf numFmtId="0" fontId="3" fillId="0" borderId="11" xfId="0" applyFont="1" applyBorder="1" applyAlignment="1">
      <alignment horizontal="center"/>
    </xf>
    <xf numFmtId="0" fontId="0" fillId="0" borderId="13" xfId="0" applyBorder="1"/>
    <xf numFmtId="0" fontId="0" fillId="0" borderId="9" xfId="0" applyBorder="1"/>
    <xf numFmtId="166" fontId="0" fillId="0" borderId="12" xfId="1" applyNumberFormat="1" applyFont="1" applyBorder="1"/>
    <xf numFmtId="166" fontId="0" fillId="3" borderId="12" xfId="1" quotePrefix="1" applyNumberFormat="1" applyFont="1" applyFill="1" applyBorder="1"/>
    <xf numFmtId="165" fontId="0" fillId="3" borderId="5" xfId="2" applyNumberFormat="1" applyFont="1" applyFill="1" applyBorder="1"/>
    <xf numFmtId="165" fontId="0" fillId="3" borderId="5" xfId="0" quotePrefix="1" applyNumberFormat="1" applyFill="1" applyBorder="1"/>
    <xf numFmtId="10" fontId="0" fillId="0" borderId="12" xfId="3" applyNumberFormat="1" applyFont="1" applyBorder="1"/>
    <xf numFmtId="165" fontId="0" fillId="3" borderId="10" xfId="2" quotePrefix="1" applyNumberFormat="1" applyFont="1" applyFill="1" applyBorder="1"/>
    <xf numFmtId="44" fontId="0" fillId="0" borderId="0" xfId="2" applyFont="1" applyBorder="1" applyAlignment="1">
      <alignment horizontal="center"/>
    </xf>
    <xf numFmtId="44" fontId="0" fillId="0" borderId="0" xfId="2" applyFont="1" applyFill="1"/>
    <xf numFmtId="43" fontId="0" fillId="0" borderId="0" xfId="1" applyFont="1" applyBorder="1" applyAlignment="1">
      <alignment horizontal="center"/>
    </xf>
    <xf numFmtId="43" fontId="0" fillId="0" borderId="0" xfId="1" applyFont="1" applyFill="1"/>
    <xf numFmtId="43" fontId="1" fillId="0" borderId="0" xfId="1" applyFont="1" applyFill="1"/>
    <xf numFmtId="169" fontId="0" fillId="0" borderId="0" xfId="1" applyNumberFormat="1" applyFont="1" applyFill="1" applyBorder="1" applyAlignment="1">
      <alignment horizontal="right" wrapText="1"/>
    </xf>
    <xf numFmtId="169" fontId="11" fillId="0" borderId="0" xfId="1" applyNumberFormat="1" applyFont="1" applyFill="1" applyBorder="1" applyAlignment="1">
      <alignment horizontal="center" wrapText="1"/>
    </xf>
    <xf numFmtId="0" fontId="15" fillId="0" borderId="0" xfId="0" applyFont="1" applyAlignment="1">
      <alignment horizontal="center" wrapText="1"/>
    </xf>
    <xf numFmtId="0" fontId="16" fillId="0" borderId="0" xfId="0" applyFont="1" applyAlignment="1">
      <alignment horizontal="right" wrapText="1"/>
    </xf>
    <xf numFmtId="41" fontId="0" fillId="0" borderId="0" xfId="0" applyNumberFormat="1"/>
    <xf numFmtId="42" fontId="0" fillId="0" borderId="0" xfId="0" applyNumberFormat="1"/>
    <xf numFmtId="0" fontId="0" fillId="0" borderId="0" xfId="1" applyNumberFormat="1" applyFont="1" applyAlignment="1">
      <alignment horizontal="center"/>
    </xf>
    <xf numFmtId="43" fontId="0" fillId="0" borderId="0" xfId="1" applyFont="1"/>
    <xf numFmtId="2" fontId="0" fillId="0" borderId="0" xfId="1" applyNumberFormat="1" applyFont="1" applyFill="1" applyBorder="1"/>
    <xf numFmtId="166" fontId="0" fillId="0" borderId="0" xfId="1" applyNumberFormat="1" applyFont="1" applyFill="1" applyBorder="1"/>
    <xf numFmtId="41" fontId="11" fillId="0" borderId="0" xfId="0" applyNumberFormat="1" applyFont="1"/>
    <xf numFmtId="41" fontId="11" fillId="0" borderId="0" xfId="1" applyNumberFormat="1" applyFont="1" applyFill="1" applyBorder="1"/>
    <xf numFmtId="44" fontId="0" fillId="0" borderId="0" xfId="2" applyFont="1"/>
    <xf numFmtId="0" fontId="5" fillId="0" borderId="0" xfId="1" applyNumberFormat="1" applyFont="1" applyFill="1" applyBorder="1"/>
    <xf numFmtId="44" fontId="5" fillId="0" borderId="0" xfId="0" applyNumberFormat="1" applyFont="1"/>
    <xf numFmtId="43" fontId="0" fillId="0" borderId="0" xfId="1" applyFont="1" applyFill="1" applyBorder="1"/>
    <xf numFmtId="0" fontId="9" fillId="0" borderId="0" xfId="0" applyFont="1" applyAlignment="1">
      <alignment horizontal="right"/>
    </xf>
    <xf numFmtId="166" fontId="1" fillId="0" borderId="0" xfId="1" applyNumberFormat="1" applyFont="1" applyFill="1"/>
    <xf numFmtId="165" fontId="1" fillId="0" borderId="0" xfId="2" applyNumberFormat="1" applyFont="1" applyFill="1"/>
    <xf numFmtId="43" fontId="0" fillId="0" borderId="0" xfId="0" applyNumberFormat="1"/>
    <xf numFmtId="166" fontId="2" fillId="0" borderId="0" xfId="1" applyNumberFormat="1" applyFont="1" applyFill="1" applyAlignment="1">
      <alignment horizontal="right"/>
    </xf>
    <xf numFmtId="166" fontId="0" fillId="0" borderId="0" xfId="0" applyNumberFormat="1"/>
    <xf numFmtId="10" fontId="1" fillId="0" borderId="0" xfId="3" applyNumberFormat="1" applyFont="1" applyFill="1" applyBorder="1"/>
    <xf numFmtId="0" fontId="2" fillId="0" borderId="0" xfId="0" applyFont="1" applyAlignment="1">
      <alignment horizontal="right"/>
    </xf>
    <xf numFmtId="0" fontId="17" fillId="0" borderId="0" xfId="0" applyFont="1" applyAlignment="1">
      <alignment horizontal="centerContinuous"/>
    </xf>
    <xf numFmtId="0" fontId="4" fillId="0" borderId="0" xfId="0" applyFont="1" applyAlignment="1">
      <alignment horizontal="center" wrapText="1"/>
    </xf>
    <xf numFmtId="9" fontId="15" fillId="0" borderId="0" xfId="3" applyFont="1" applyFill="1" applyAlignment="1">
      <alignment horizontal="center" wrapText="1"/>
    </xf>
    <xf numFmtId="0" fontId="5" fillId="0" borderId="0" xfId="0" applyFont="1" applyAlignment="1">
      <alignment horizontal="right" wrapText="1"/>
    </xf>
    <xf numFmtId="167" fontId="0" fillId="0" borderId="2" xfId="3" applyNumberFormat="1" applyFont="1" applyFill="1" applyBorder="1"/>
    <xf numFmtId="165" fontId="1" fillId="0" borderId="0" xfId="2" applyNumberFormat="1" applyFont="1" applyFill="1" applyBorder="1"/>
    <xf numFmtId="0" fontId="5" fillId="0" borderId="0" xfId="0" applyFont="1" applyAlignment="1">
      <alignment horizontal="center" wrapText="1"/>
    </xf>
    <xf numFmtId="166" fontId="9" fillId="0" borderId="0" xfId="1" applyNumberFormat="1" applyFont="1" applyFill="1" applyAlignment="1">
      <alignment horizontal="right"/>
    </xf>
    <xf numFmtId="0" fontId="3" fillId="0" borderId="0" xfId="0" quotePrefix="1" applyFont="1" applyAlignment="1">
      <alignment horizontal="right"/>
    </xf>
    <xf numFmtId="0" fontId="6" fillId="0" borderId="0" xfId="0" applyFont="1"/>
    <xf numFmtId="0" fontId="0" fillId="0" borderId="12" xfId="0" applyBorder="1"/>
    <xf numFmtId="43" fontId="0" fillId="0" borderId="1" xfId="1" applyFont="1" applyFill="1" applyBorder="1" applyAlignment="1">
      <alignment horizontal="right"/>
    </xf>
    <xf numFmtId="43" fontId="0" fillId="0" borderId="1" xfId="1" applyFont="1" applyFill="1" applyBorder="1"/>
    <xf numFmtId="43" fontId="0" fillId="0" borderId="13" xfId="1" applyFont="1" applyFill="1" applyBorder="1"/>
    <xf numFmtId="0" fontId="0" fillId="0" borderId="7" xfId="0" applyBorder="1"/>
    <xf numFmtId="10" fontId="0" fillId="0" borderId="0" xfId="3" quotePrefix="1" applyNumberFormat="1" applyFont="1" applyBorder="1"/>
    <xf numFmtId="0" fontId="5" fillId="0" borderId="8" xfId="0" applyFont="1" applyBorder="1"/>
    <xf numFmtId="0" fontId="0" fillId="0" borderId="10" xfId="0" applyBorder="1"/>
    <xf numFmtId="43" fontId="0" fillId="0" borderId="2" xfId="1" applyFont="1" applyBorder="1"/>
    <xf numFmtId="43" fontId="0" fillId="0" borderId="9" xfId="1" applyFont="1" applyBorder="1"/>
    <xf numFmtId="166" fontId="0" fillId="0" borderId="0" xfId="1" quotePrefix="1" applyNumberFormat="1" applyFont="1" applyBorder="1"/>
    <xf numFmtId="44" fontId="0" fillId="3" borderId="0" xfId="0" applyNumberFormat="1" applyFill="1"/>
    <xf numFmtId="42" fontId="0" fillId="3" borderId="0" xfId="0" applyNumberFormat="1" applyFill="1"/>
    <xf numFmtId="41" fontId="0" fillId="3" borderId="0" xfId="1" applyNumberFormat="1" applyFont="1" applyFill="1"/>
    <xf numFmtId="0" fontId="18" fillId="0" borderId="0" xfId="0" applyFont="1" applyAlignment="1">
      <alignment horizontal="right"/>
    </xf>
    <xf numFmtId="10" fontId="18" fillId="3" borderId="0" xfId="0" applyNumberFormat="1" applyFont="1" applyFill="1" applyAlignment="1">
      <alignment horizontal="right"/>
    </xf>
    <xf numFmtId="10" fontId="18" fillId="3" borderId="4" xfId="3" applyNumberFormat="1" applyFont="1" applyFill="1" applyBorder="1"/>
    <xf numFmtId="44" fontId="18" fillId="3" borderId="3" xfId="0" applyNumberFormat="1" applyFont="1" applyFill="1" applyBorder="1"/>
    <xf numFmtId="44" fontId="18" fillId="0" borderId="0" xfId="0" applyNumberFormat="1" applyFont="1" applyAlignment="1">
      <alignment horizontal="right"/>
    </xf>
    <xf numFmtId="0" fontId="18" fillId="0" borderId="0" xfId="0" applyFont="1" applyAlignment="1">
      <alignment horizontal="left"/>
    </xf>
    <xf numFmtId="9" fontId="18" fillId="3" borderId="0" xfId="3" applyFont="1" applyFill="1"/>
    <xf numFmtId="41" fontId="11" fillId="3" borderId="0" xfId="1" applyNumberFormat="1" applyFont="1" applyFill="1" applyBorder="1"/>
    <xf numFmtId="169" fontId="0" fillId="3" borderId="0" xfId="1" applyNumberFormat="1" applyFont="1" applyFill="1"/>
    <xf numFmtId="41" fontId="0" fillId="3" borderId="0" xfId="1" applyNumberFormat="1" applyFont="1" applyFill="1" applyBorder="1"/>
    <xf numFmtId="41" fontId="0" fillId="3" borderId="2" xfId="1" applyNumberFormat="1" applyFont="1" applyFill="1" applyBorder="1"/>
    <xf numFmtId="166" fontId="1" fillId="3" borderId="0" xfId="1" applyNumberFormat="1" applyFont="1" applyFill="1"/>
    <xf numFmtId="165" fontId="0" fillId="3" borderId="0" xfId="0" applyNumberFormat="1" applyFill="1"/>
    <xf numFmtId="10" fontId="1" fillId="3" borderId="0" xfId="3" applyNumberFormat="1" applyFont="1" applyFill="1"/>
    <xf numFmtId="165" fontId="1" fillId="3" borderId="0" xfId="2" applyNumberFormat="1" applyFont="1" applyFill="1"/>
    <xf numFmtId="10" fontId="1" fillId="3" borderId="2" xfId="3" applyNumberFormat="1" applyFont="1" applyFill="1" applyBorder="1"/>
    <xf numFmtId="165" fontId="0" fillId="3" borderId="0" xfId="2" applyNumberFormat="1" applyFont="1" applyFill="1"/>
    <xf numFmtId="0" fontId="0" fillId="0" borderId="14" xfId="0" applyBorder="1"/>
    <xf numFmtId="0" fontId="2" fillId="0" borderId="14" xfId="0" applyFont="1" applyBorder="1"/>
    <xf numFmtId="0" fontId="0" fillId="0" borderId="14" xfId="0" applyBorder="1" applyAlignment="1">
      <alignment horizontal="right"/>
    </xf>
    <xf numFmtId="0" fontId="0" fillId="0" borderId="2" xfId="0" applyBorder="1" applyAlignment="1">
      <alignment horizontal="center"/>
    </xf>
    <xf numFmtId="0" fontId="4" fillId="2"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0" fillId="0" borderId="1" xfId="0" applyBorder="1" applyAlignment="1">
      <alignment wrapText="1"/>
    </xf>
    <xf numFmtId="0" fontId="0" fillId="0" borderId="13"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6" xfId="0" applyBorder="1" applyAlignment="1">
      <alignment wrapText="1"/>
    </xf>
    <xf numFmtId="0" fontId="0" fillId="0" borderId="0" xfId="0" applyAlignment="1">
      <alignment horizontal="left" vertical="center" wrapText="1"/>
    </xf>
    <xf numFmtId="0" fontId="0" fillId="0" borderId="0" xfId="0" applyAlignment="1">
      <alignment horizontal="right" wrapText="1"/>
    </xf>
    <xf numFmtId="0" fontId="0" fillId="0" borderId="8" xfId="0" applyBorder="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373380</xdr:colOff>
          <xdr:row>1</xdr:row>
          <xdr:rowOff>7620</xdr:rowOff>
        </xdr:from>
        <xdr:to>
          <xdr:col>9</xdr:col>
          <xdr:colOff>449580</xdr:colOff>
          <xdr:row>32</xdr:row>
          <xdr:rowOff>53340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10</xdr:col>
      <xdr:colOff>571500</xdr:colOff>
      <xdr:row>1</xdr:row>
      <xdr:rowOff>129540</xdr:rowOff>
    </xdr:from>
    <xdr:to>
      <xdr:col>14</xdr:col>
      <xdr:colOff>406718</xdr:colOff>
      <xdr:row>9</xdr:row>
      <xdr:rowOff>124778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00" y="310515"/>
          <a:ext cx="2273618" cy="14430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744644</xdr:colOff>
      <xdr:row>36</xdr:row>
      <xdr:rowOff>151977</xdr:rowOff>
    </xdr:from>
    <xdr:to>
      <xdr:col>21</xdr:col>
      <xdr:colOff>496359</xdr:colOff>
      <xdr:row>40</xdr:row>
      <xdr:rowOff>74085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582227" y="11190394"/>
          <a:ext cx="3783965" cy="6417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Payments made in previous periods need to be converted to the present-day dollars using a present value factor to be comparable to the salaries of current active employees</a:t>
          </a:r>
        </a:p>
      </xdr:txBody>
    </xdr:sp>
    <xdr:clientData/>
  </xdr:twoCellAnchor>
  <xdr:twoCellAnchor>
    <xdr:from>
      <xdr:col>12</xdr:col>
      <xdr:colOff>476250</xdr:colOff>
      <xdr:row>39</xdr:row>
      <xdr:rowOff>122132</xdr:rowOff>
    </xdr:from>
    <xdr:to>
      <xdr:col>16</xdr:col>
      <xdr:colOff>717763</xdr:colOff>
      <xdr:row>44</xdr:row>
      <xdr:rowOff>158750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H="1">
          <a:off x="11091333" y="11700299"/>
          <a:ext cx="2464013" cy="93620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758189</xdr:colOff>
      <xdr:row>39</xdr:row>
      <xdr:rowOff>128905</xdr:rowOff>
    </xdr:from>
    <xdr:to>
      <xdr:col>16</xdr:col>
      <xdr:colOff>723477</xdr:colOff>
      <xdr:row>44</xdr:row>
      <xdr:rowOff>226060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12495106" y="11707072"/>
          <a:ext cx="1065954" cy="99673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74083</xdr:colOff>
      <xdr:row>46</xdr:row>
      <xdr:rowOff>27940</xdr:rowOff>
    </xdr:from>
    <xdr:to>
      <xdr:col>22</xdr:col>
      <xdr:colOff>144356</xdr:colOff>
      <xdr:row>46</xdr:row>
      <xdr:rowOff>687917</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3906500" y="13722773"/>
          <a:ext cx="3721523" cy="65997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Since it has been five years since former employee #1 received the cash settlement payment, the present value factor is 1.1734 (5 years ^ 1.0325)</a:t>
          </a:r>
        </a:p>
      </xdr:txBody>
    </xdr:sp>
    <xdr:clientData/>
  </xdr:twoCellAnchor>
  <xdr:twoCellAnchor>
    <xdr:from>
      <xdr:col>11</xdr:col>
      <xdr:colOff>613833</xdr:colOff>
      <xdr:row>46</xdr:row>
      <xdr:rowOff>518584</xdr:rowOff>
    </xdr:from>
    <xdr:to>
      <xdr:col>17</xdr:col>
      <xdr:colOff>63500</xdr:colOff>
      <xdr:row>49</xdr:row>
      <xdr:rowOff>21166</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flipH="1">
          <a:off x="10488083" y="14213417"/>
          <a:ext cx="3407834" cy="78316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121285</xdr:colOff>
      <xdr:row>47</xdr:row>
      <xdr:rowOff>179916</xdr:rowOff>
    </xdr:from>
    <xdr:to>
      <xdr:col>22</xdr:col>
      <xdr:colOff>187536</xdr:colOff>
      <xdr:row>56</xdr:row>
      <xdr:rowOff>74084</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3953702" y="14731999"/>
          <a:ext cx="3717501" cy="160866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The cash settlements made to all the sampled Fees in today’s dollars</a:t>
          </a:r>
          <a:r>
            <a:rPr lang="en-US" sz="1100" baseline="0"/>
            <a:t> </a:t>
          </a:r>
          <a:r>
            <a:rPr lang="en-US" sz="1100"/>
            <a:t>is the basis for projecting sick leave cash settlements that are more likely than not will be made to current active employees.   </a:t>
          </a:r>
        </a:p>
        <a:p>
          <a:endParaRPr lang="en-US" sz="1100"/>
        </a:p>
        <a:p>
          <a:r>
            <a:rPr lang="en-US" sz="1100"/>
            <a:t>The </a:t>
          </a:r>
          <a:r>
            <a:rPr lang="en-US" sz="1100">
              <a:solidFill>
                <a:schemeClr val="dk1"/>
              </a:solidFill>
              <a:effectLst/>
              <a:latin typeface="+mn-lt"/>
              <a:ea typeface="+mn-ea"/>
              <a:cs typeface="+mn-cs"/>
            </a:rPr>
            <a:t>value of sick leave used by former employees</a:t>
          </a:r>
          <a:r>
            <a:rPr lang="en-US" sz="1100" baseline="0">
              <a:solidFill>
                <a:schemeClr val="dk1"/>
              </a:solidFill>
              <a:effectLst/>
              <a:latin typeface="+mn-lt"/>
              <a:ea typeface="+mn-ea"/>
              <a:cs typeface="+mn-cs"/>
            </a:rPr>
            <a:t> in today's dollars is the basis for sick leave more likely than not to be used as time off by current employees.</a:t>
          </a:r>
          <a:endParaRPr lang="en-US" sz="1100"/>
        </a:p>
      </xdr:txBody>
    </xdr:sp>
    <xdr:clientData/>
  </xdr:twoCellAnchor>
  <xdr:twoCellAnchor>
    <xdr:from>
      <xdr:col>16</xdr:col>
      <xdr:colOff>137584</xdr:colOff>
      <xdr:row>54</xdr:row>
      <xdr:rowOff>84667</xdr:rowOff>
    </xdr:from>
    <xdr:to>
      <xdr:col>17</xdr:col>
      <xdr:colOff>116416</xdr:colOff>
      <xdr:row>54</xdr:row>
      <xdr:rowOff>84667</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flipH="1">
          <a:off x="12975167" y="15991417"/>
          <a:ext cx="973666"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0</xdr:colOff>
      <xdr:row>90</xdr:row>
      <xdr:rowOff>1</xdr:rowOff>
    </xdr:from>
    <xdr:to>
      <xdr:col>23</xdr:col>
      <xdr:colOff>441536</xdr:colOff>
      <xdr:row>98</xdr:row>
      <xdr:rowOff>135151</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15349409" y="21746606"/>
          <a:ext cx="3871823" cy="158964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To determine the number of days more likely than not to be paid out, a percentage from the former employees is used.</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Note: not all of the 1,188 days earned in this example are allocated to sick leave settled in cash or to leave used as time off because of the government’s limitations on cash settlement (i.e., the minimum length of </a:t>
          </a:r>
          <a:r>
            <a:rPr lang="en-US" sz="1100">
              <a:solidFill>
                <a:schemeClr val="tx1"/>
              </a:solidFill>
              <a:effectLst/>
              <a:latin typeface="+mn-lt"/>
              <a:ea typeface="+mn-ea"/>
              <a:cs typeface="+mn-cs"/>
            </a:rPr>
            <a:t>service and 150 day cash</a:t>
          </a:r>
          <a:r>
            <a:rPr lang="en-US" sz="1100" baseline="0">
              <a:solidFill>
                <a:schemeClr val="tx1"/>
              </a:solidFill>
              <a:effectLst/>
              <a:latin typeface="+mn-lt"/>
              <a:ea typeface="+mn-ea"/>
              <a:cs typeface="+mn-cs"/>
            </a:rPr>
            <a:t> settlement maximum</a:t>
          </a:r>
          <a:r>
            <a:rPr lang="en-US" sz="1100">
              <a:solidFill>
                <a:schemeClr val="tx1"/>
              </a:solidFill>
              <a:effectLst/>
              <a:latin typeface="+mn-lt"/>
              <a:ea typeface="+mn-ea"/>
              <a:cs typeface="+mn-cs"/>
            </a:rPr>
            <a:t>).</a:t>
          </a:r>
        </a:p>
        <a:p>
          <a:endParaRPr lang="en-US" sz="1100"/>
        </a:p>
      </xdr:txBody>
    </xdr:sp>
    <xdr:clientData/>
  </xdr:twoCellAnchor>
  <xdr:twoCellAnchor>
    <xdr:from>
      <xdr:col>8</xdr:col>
      <xdr:colOff>8678</xdr:colOff>
      <xdr:row>94</xdr:row>
      <xdr:rowOff>40428</xdr:rowOff>
    </xdr:from>
    <xdr:to>
      <xdr:col>17</xdr:col>
      <xdr:colOff>991023</xdr:colOff>
      <xdr:row>94</xdr:row>
      <xdr:rowOff>67310</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H="1">
          <a:off x="7533428" y="23207345"/>
          <a:ext cx="7501678" cy="2688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338668</xdr:colOff>
      <xdr:row>63</xdr:row>
      <xdr:rowOff>160656</xdr:rowOff>
    </xdr:from>
    <xdr:to>
      <xdr:col>22</xdr:col>
      <xdr:colOff>61596</xdr:colOff>
      <xdr:row>70</xdr:row>
      <xdr:rowOff>102024</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4382751" y="17686656"/>
          <a:ext cx="3374178" cy="120078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Because many employees separate (retire) at or near the height of their earnings, in this example it was estimated that the active employees’ wages were 80 percent of the wages of the FEs at the date of separation. Therefore, only 80 percent of the projected payout amount is used to account for the active employees’ lower wages.</a:t>
          </a:r>
        </a:p>
      </xdr:txBody>
    </xdr:sp>
    <xdr:clientData/>
  </xdr:twoCellAnchor>
  <xdr:twoCellAnchor>
    <xdr:from>
      <xdr:col>15</xdr:col>
      <xdr:colOff>48049</xdr:colOff>
      <xdr:row>70</xdr:row>
      <xdr:rowOff>102024</xdr:rowOff>
    </xdr:from>
    <xdr:to>
      <xdr:col>19</xdr:col>
      <xdr:colOff>523770</xdr:colOff>
      <xdr:row>82</xdr:row>
      <xdr:rowOff>51013</xdr:rowOff>
    </xdr:to>
    <xdr:cxnSp macro="">
      <xdr:nvCxnSpPr>
        <xdr:cNvPr id="21" name="Straight Arrow Connector 20">
          <a:extLst>
            <a:ext uri="{FF2B5EF4-FFF2-40B4-BE49-F238E27FC236}">
              <a16:creationId xmlns:a16="http://schemas.microsoft.com/office/drawing/2014/main" id="{00000000-0008-0000-0100-000015000000}"/>
            </a:ext>
          </a:extLst>
        </xdr:cNvPr>
        <xdr:cNvCxnSpPr>
          <a:stCxn id="17" idx="2"/>
        </xdr:cNvCxnSpPr>
      </xdr:nvCxnSpPr>
      <xdr:spPr>
        <a:xfrm flipH="1">
          <a:off x="12896216" y="18887441"/>
          <a:ext cx="3185054" cy="212915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27940</xdr:colOff>
      <xdr:row>66</xdr:row>
      <xdr:rowOff>95250</xdr:rowOff>
    </xdr:from>
    <xdr:to>
      <xdr:col>17</xdr:col>
      <xdr:colOff>328084</xdr:colOff>
      <xdr:row>66</xdr:row>
      <xdr:rowOff>111549</xdr:rowOff>
    </xdr:to>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a:xfrm flipH="1">
          <a:off x="11764857" y="18161000"/>
          <a:ext cx="2607310" cy="1629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21</xdr:row>
      <xdr:rowOff>0</xdr:rowOff>
    </xdr:from>
    <xdr:to>
      <xdr:col>17</xdr:col>
      <xdr:colOff>580262</xdr:colOff>
      <xdr:row>22</xdr:row>
      <xdr:rowOff>231690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966622" y="6036791"/>
          <a:ext cx="3952626" cy="4376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solidFill>
                <a:schemeClr val="tx1"/>
              </a:solidFill>
            </a:rPr>
            <a:t>A time-weighted</a:t>
          </a:r>
          <a:r>
            <a:rPr lang="en-US" sz="1100" baseline="0">
              <a:solidFill>
                <a:schemeClr val="tx1"/>
              </a:solidFill>
            </a:rPr>
            <a:t> average salary may be used.  A simple average is used here for illustration.</a:t>
          </a:r>
          <a:endParaRPr lang="en-US" sz="1100">
            <a:solidFill>
              <a:schemeClr val="tx1"/>
            </a:solidFill>
          </a:endParaRPr>
        </a:p>
      </xdr:txBody>
    </xdr:sp>
    <xdr:clientData/>
  </xdr:twoCellAnchor>
  <xdr:twoCellAnchor>
    <xdr:from>
      <xdr:col>6</xdr:col>
      <xdr:colOff>619743</xdr:colOff>
      <xdr:row>22</xdr:row>
      <xdr:rowOff>31935</xdr:rowOff>
    </xdr:from>
    <xdr:to>
      <xdr:col>12</xdr:col>
      <xdr:colOff>0</xdr:colOff>
      <xdr:row>22</xdr:row>
      <xdr:rowOff>277832</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H="1">
          <a:off x="5716905" y="6506361"/>
          <a:ext cx="4374446" cy="2458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3</xdr:row>
      <xdr:rowOff>0</xdr:rowOff>
    </xdr:from>
    <xdr:to>
      <xdr:col>19</xdr:col>
      <xdr:colOff>758114</xdr:colOff>
      <xdr:row>5</xdr:row>
      <xdr:rowOff>576830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309257" y="553480"/>
          <a:ext cx="2264093" cy="14392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4</xdr:row>
      <xdr:rowOff>0</xdr:rowOff>
    </xdr:from>
    <xdr:to>
      <xdr:col>17</xdr:col>
      <xdr:colOff>478156</xdr:colOff>
      <xdr:row>12</xdr:row>
      <xdr:rowOff>10478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6704469" y="726281"/>
          <a:ext cx="2264093" cy="14392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251B1-040A-4F50-BD7D-497753479C3A}">
  <dimension ref="A1"/>
  <sheetViews>
    <sheetView tabSelected="1" workbookViewId="0">
      <selection activeCell="N13" sqref="N13"/>
    </sheetView>
  </sheetViews>
  <sheetFormatPr defaultRowHeight="14.4"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073" r:id="rId4">
          <objectPr defaultSize="0" autoPict="0" r:id="rId5">
            <anchor moveWithCells="1" sizeWithCells="1">
              <from>
                <xdr:col>0</xdr:col>
                <xdr:colOff>373380</xdr:colOff>
                <xdr:row>1</xdr:row>
                <xdr:rowOff>7620</xdr:rowOff>
              </from>
              <to>
                <xdr:col>9</xdr:col>
                <xdr:colOff>449580</xdr:colOff>
                <xdr:row>32</xdr:row>
                <xdr:rowOff>53340</xdr:rowOff>
              </to>
            </anchor>
          </objectPr>
        </oleObject>
      </mc:Choice>
      <mc:Fallback>
        <oleObject progId="Word.Document.12" shapeId="30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2FB9-8487-4575-B53C-AA173C552A37}">
  <dimension ref="A1:V103"/>
  <sheetViews>
    <sheetView showGridLines="0" zoomScale="74" zoomScaleNormal="90" workbookViewId="0">
      <selection activeCell="R4" sqref="R4"/>
    </sheetView>
  </sheetViews>
  <sheetFormatPr defaultRowHeight="14.4" x14ac:dyDescent="0.3"/>
  <cols>
    <col min="1" max="1" width="6" customWidth="1"/>
    <col min="2" max="2" width="18.109375" customWidth="1"/>
    <col min="3" max="3" width="12" customWidth="1"/>
    <col min="4" max="4" width="12.6640625" customWidth="1"/>
    <col min="5" max="5" width="13.44140625" customWidth="1"/>
    <col min="6" max="6" width="12.21875" customWidth="1"/>
    <col min="7" max="7" width="13.44140625" customWidth="1"/>
    <col min="8" max="8" width="11.109375" customWidth="1"/>
    <col min="9" max="9" width="12.109375" customWidth="1"/>
    <col min="10" max="10" width="13.88671875" customWidth="1"/>
    <col min="11" max="11" width="11.33203125" customWidth="1"/>
    <col min="12" max="12" width="10.88671875" customWidth="1"/>
    <col min="13" max="13" width="13.33203125" customWidth="1"/>
    <col min="14" max="14" width="3.109375" customWidth="1"/>
    <col min="15" max="15" width="13.109375" customWidth="1"/>
    <col min="16" max="16" width="2.88671875" customWidth="1"/>
    <col min="17" max="18" width="14.44140625" customWidth="1"/>
    <col min="19" max="19" width="7.44140625" customWidth="1"/>
    <col min="20" max="20" width="13.21875" customWidth="1"/>
  </cols>
  <sheetData>
    <row r="1" spans="1:15" x14ac:dyDescent="0.3">
      <c r="B1" s="3" t="s">
        <v>0</v>
      </c>
    </row>
    <row r="2" spans="1:15" x14ac:dyDescent="0.3">
      <c r="B2" s="3" t="s">
        <v>227</v>
      </c>
    </row>
    <row r="3" spans="1:15" ht="15" thickBot="1" x14ac:dyDescent="0.35">
      <c r="A3" s="161"/>
      <c r="B3" s="161"/>
      <c r="C3" s="161"/>
      <c r="D3" s="161"/>
      <c r="E3" s="161"/>
      <c r="F3" s="161"/>
      <c r="G3" s="161"/>
      <c r="H3" s="161"/>
      <c r="I3" s="161"/>
      <c r="J3" s="161"/>
      <c r="K3" s="161"/>
      <c r="L3" s="161"/>
      <c r="M3" s="161"/>
      <c r="N3" s="161"/>
      <c r="O3" s="161"/>
    </row>
    <row r="4" spans="1:15" ht="54" customHeight="1" x14ac:dyDescent="0.3">
      <c r="B4" s="166" t="s">
        <v>213</v>
      </c>
      <c r="C4" s="167"/>
      <c r="D4" s="167"/>
      <c r="E4" s="167"/>
      <c r="F4" s="167"/>
      <c r="G4" s="167"/>
      <c r="H4" s="167"/>
      <c r="I4" s="167"/>
      <c r="J4" s="167"/>
      <c r="K4" s="167"/>
      <c r="L4" s="167"/>
      <c r="M4" s="167"/>
      <c r="N4" s="167"/>
      <c r="O4" s="167"/>
    </row>
    <row r="6" spans="1:15" ht="51.6" customHeight="1" x14ac:dyDescent="0.3">
      <c r="B6" s="166" t="s">
        <v>228</v>
      </c>
      <c r="C6" s="167"/>
      <c r="D6" s="167"/>
      <c r="E6" s="167"/>
      <c r="F6" s="167"/>
      <c r="G6" s="167"/>
      <c r="H6" s="167"/>
      <c r="I6" s="167"/>
      <c r="J6" s="167"/>
      <c r="K6" s="167"/>
      <c r="L6" s="167"/>
      <c r="M6" s="167"/>
      <c r="N6" s="167"/>
      <c r="O6" s="167"/>
    </row>
    <row r="8" spans="1:15" x14ac:dyDescent="0.3">
      <c r="B8" s="5" t="s">
        <v>87</v>
      </c>
    </row>
    <row r="9" spans="1:15" x14ac:dyDescent="0.3">
      <c r="B9" s="5"/>
    </row>
    <row r="10" spans="1:15" x14ac:dyDescent="0.3">
      <c r="B10" s="59" t="s">
        <v>82</v>
      </c>
    </row>
    <row r="11" spans="1:15" x14ac:dyDescent="0.3">
      <c r="B11" s="5" t="s">
        <v>1</v>
      </c>
    </row>
    <row r="12" spans="1:15" ht="31.8" customHeight="1" x14ac:dyDescent="0.3">
      <c r="B12" s="166" t="s">
        <v>232</v>
      </c>
      <c r="C12" s="167"/>
      <c r="D12" s="167"/>
      <c r="E12" s="167"/>
      <c r="F12" s="167"/>
      <c r="G12" s="167"/>
      <c r="H12" s="167"/>
      <c r="I12" s="167"/>
      <c r="J12" s="167"/>
      <c r="K12" s="167"/>
      <c r="L12" s="167"/>
      <c r="M12" s="167"/>
      <c r="N12" s="167"/>
      <c r="O12" s="167"/>
    </row>
    <row r="13" spans="1:15" x14ac:dyDescent="0.3">
      <c r="B13" s="5" t="s">
        <v>229</v>
      </c>
    </row>
    <row r="14" spans="1:15" x14ac:dyDescent="0.3">
      <c r="B14" s="5" t="s">
        <v>221</v>
      </c>
    </row>
    <row r="15" spans="1:15" x14ac:dyDescent="0.3">
      <c r="B15" s="5" t="s">
        <v>222</v>
      </c>
    </row>
    <row r="16" spans="1:15" ht="15" thickBot="1" x14ac:dyDescent="0.35">
      <c r="A16" s="161"/>
      <c r="B16" s="161"/>
      <c r="C16" s="161"/>
      <c r="D16" s="161"/>
      <c r="E16" s="161"/>
      <c r="F16" s="161"/>
      <c r="G16" s="161"/>
      <c r="H16" s="161"/>
      <c r="I16" s="161"/>
      <c r="J16" s="161"/>
      <c r="K16" s="161"/>
      <c r="L16" s="161"/>
      <c r="M16" s="161"/>
      <c r="N16" s="161"/>
      <c r="O16" s="161"/>
    </row>
    <row r="17" spans="1:22" x14ac:dyDescent="0.3">
      <c r="B17" s="5"/>
    </row>
    <row r="18" spans="1:22" x14ac:dyDescent="0.3">
      <c r="B18" s="59" t="s">
        <v>230</v>
      </c>
      <c r="C18" s="2"/>
    </row>
    <row r="19" spans="1:22" ht="115.2" customHeight="1" x14ac:dyDescent="0.3">
      <c r="B19" s="166" t="s">
        <v>214</v>
      </c>
      <c r="C19" s="167"/>
      <c r="D19" s="167"/>
      <c r="E19" s="167"/>
      <c r="F19" s="167"/>
      <c r="G19" s="167"/>
      <c r="H19" s="167"/>
      <c r="I19" s="167"/>
      <c r="J19" s="167"/>
      <c r="K19" s="167"/>
      <c r="L19" s="167"/>
      <c r="M19" s="167"/>
      <c r="N19" s="167"/>
      <c r="O19" s="167"/>
    </row>
    <row r="20" spans="1:22" x14ac:dyDescent="0.3">
      <c r="B20" s="5"/>
    </row>
    <row r="21" spans="1:22" ht="28.8" x14ac:dyDescent="0.3">
      <c r="E21" s="10" t="s">
        <v>3</v>
      </c>
      <c r="F21" s="10" t="s">
        <v>4</v>
      </c>
      <c r="G21" s="126" t="s">
        <v>124</v>
      </c>
      <c r="H21" s="126" t="s">
        <v>165</v>
      </c>
      <c r="I21" s="126" t="s">
        <v>125</v>
      </c>
    </row>
    <row r="22" spans="1:22" ht="16.2" x14ac:dyDescent="0.45">
      <c r="B22" s="165" t="s">
        <v>231</v>
      </c>
      <c r="E22" s="120" t="s">
        <v>166</v>
      </c>
      <c r="F22" s="120"/>
      <c r="G22" s="120" t="s">
        <v>167</v>
      </c>
      <c r="H22" s="120"/>
      <c r="I22" s="121"/>
    </row>
    <row r="23" spans="1:22" ht="51" customHeight="1" x14ac:dyDescent="0.45">
      <c r="B23" s="165"/>
      <c r="D23" s="14" t="s">
        <v>131</v>
      </c>
      <c r="E23" s="40" t="s">
        <v>126</v>
      </c>
      <c r="F23" s="40" t="s">
        <v>127</v>
      </c>
      <c r="G23" s="40" t="s">
        <v>33</v>
      </c>
      <c r="H23" s="40" t="s">
        <v>128</v>
      </c>
      <c r="I23" s="40" t="s">
        <v>129</v>
      </c>
      <c r="O23" s="48"/>
      <c r="P23" s="48"/>
      <c r="Q23" s="48"/>
      <c r="R23" s="48"/>
      <c r="S23" s="48"/>
      <c r="T23" s="48"/>
      <c r="U23" s="48"/>
    </row>
    <row r="24" spans="1:22" x14ac:dyDescent="0.3">
      <c r="B24" s="165"/>
      <c r="D24" s="2" t="s">
        <v>97</v>
      </c>
      <c r="E24" s="91">
        <v>43.370000000000005</v>
      </c>
      <c r="F24" s="92">
        <v>65.53</v>
      </c>
      <c r="G24" s="141">
        <f>(E24+F24)/2</f>
        <v>54.45</v>
      </c>
      <c r="H24" s="142">
        <f>ROUND(+F24*8,0)</f>
        <v>524</v>
      </c>
      <c r="I24" s="142">
        <f>ROUND(+G24*8,0)</f>
        <v>436</v>
      </c>
      <c r="O24" s="48"/>
      <c r="P24" s="48"/>
      <c r="Q24" s="48"/>
      <c r="R24" s="48"/>
      <c r="S24" s="48"/>
      <c r="T24" s="48"/>
      <c r="U24" s="48"/>
    </row>
    <row r="25" spans="1:22" x14ac:dyDescent="0.3">
      <c r="B25" s="165"/>
      <c r="D25" s="2" t="s">
        <v>98</v>
      </c>
      <c r="E25" s="93">
        <v>20.399999999999999</v>
      </c>
      <c r="F25" s="94">
        <v>21.631121</v>
      </c>
      <c r="G25" s="17">
        <f>(E25+F25)/2</f>
        <v>21.015560499999999</v>
      </c>
      <c r="H25" s="143">
        <f t="shared" ref="H25:H28" si="0">ROUND(+F25*8,0)</f>
        <v>173</v>
      </c>
      <c r="I25" s="143">
        <f>ROUND(+G25*8,0)</f>
        <v>168</v>
      </c>
      <c r="O25" s="48"/>
      <c r="P25" s="48"/>
      <c r="Q25" s="48"/>
      <c r="R25" s="48"/>
      <c r="S25" s="48"/>
      <c r="T25" s="48"/>
      <c r="U25" s="48"/>
    </row>
    <row r="26" spans="1:22" x14ac:dyDescent="0.3">
      <c r="B26" s="165"/>
      <c r="D26" s="2" t="s">
        <v>99</v>
      </c>
      <c r="E26" s="93">
        <v>44.4</v>
      </c>
      <c r="F26" s="94">
        <v>83.86</v>
      </c>
      <c r="G26" s="17">
        <f>(E26+F26)/2</f>
        <v>64.13</v>
      </c>
      <c r="H26" s="143">
        <f t="shared" si="0"/>
        <v>671</v>
      </c>
      <c r="I26" s="143">
        <f>ROUND(+G26*8,0)</f>
        <v>513</v>
      </c>
      <c r="O26" s="48"/>
      <c r="P26" s="48"/>
      <c r="Q26" s="48"/>
      <c r="R26" s="48"/>
      <c r="S26" s="48"/>
      <c r="T26" s="48"/>
      <c r="U26" s="48"/>
    </row>
    <row r="27" spans="1:22" ht="14.4" customHeight="1" x14ac:dyDescent="0.3">
      <c r="B27" s="167"/>
      <c r="D27" s="2" t="s">
        <v>100</v>
      </c>
      <c r="E27" s="93">
        <v>37.39</v>
      </c>
      <c r="F27" s="94">
        <v>43.47</v>
      </c>
      <c r="G27" s="17">
        <f>(E27+F27)/2</f>
        <v>40.43</v>
      </c>
      <c r="H27" s="143">
        <f t="shared" si="0"/>
        <v>348</v>
      </c>
      <c r="I27" s="143">
        <f>ROUND(+G27*8,0)</f>
        <v>323</v>
      </c>
      <c r="O27" s="48"/>
      <c r="P27" s="48"/>
      <c r="Q27" s="48"/>
      <c r="R27" s="48"/>
      <c r="S27" s="48"/>
      <c r="T27" s="48"/>
      <c r="U27" s="48"/>
    </row>
    <row r="28" spans="1:22" x14ac:dyDescent="0.3">
      <c r="B28" s="167"/>
      <c r="D28" s="2" t="s">
        <v>101</v>
      </c>
      <c r="E28" s="93">
        <v>33.68</v>
      </c>
      <c r="F28" s="95">
        <v>45.239999999999995</v>
      </c>
      <c r="G28" s="17">
        <f>(E28+F28)/2</f>
        <v>39.459999999999994</v>
      </c>
      <c r="H28" s="143">
        <f t="shared" si="0"/>
        <v>362</v>
      </c>
      <c r="I28" s="143">
        <f>ROUND(+G28*8,0)</f>
        <v>316</v>
      </c>
      <c r="Q28" s="48"/>
      <c r="R28" s="48"/>
      <c r="S28" s="48"/>
      <c r="T28" s="48"/>
      <c r="U28" s="48"/>
      <c r="V28" s="48"/>
    </row>
    <row r="29" spans="1:22" ht="15" thickBot="1" x14ac:dyDescent="0.35">
      <c r="A29" s="161"/>
      <c r="B29" s="161"/>
      <c r="C29" s="161"/>
      <c r="D29" s="161"/>
      <c r="E29" s="161"/>
      <c r="F29" s="161"/>
      <c r="G29" s="161"/>
      <c r="H29" s="161"/>
      <c r="I29" s="161"/>
      <c r="J29" s="161"/>
      <c r="K29" s="161"/>
      <c r="L29" s="161"/>
      <c r="M29" s="161"/>
      <c r="N29" s="161"/>
      <c r="O29" s="161"/>
    </row>
    <row r="30" spans="1:22" x14ac:dyDescent="0.3">
      <c r="B30" s="5"/>
    </row>
    <row r="31" spans="1:22" x14ac:dyDescent="0.3">
      <c r="B31" s="59" t="s">
        <v>37</v>
      </c>
      <c r="C31" s="2"/>
      <c r="K31" s="61"/>
      <c r="L31" s="29"/>
    </row>
    <row r="32" spans="1:22" x14ac:dyDescent="0.3">
      <c r="B32" t="s">
        <v>89</v>
      </c>
      <c r="C32" s="2"/>
      <c r="K32" s="61"/>
      <c r="L32" s="29"/>
    </row>
    <row r="33" spans="1:20" ht="49.2" customHeight="1" x14ac:dyDescent="0.3">
      <c r="B33" s="167" t="s">
        <v>88</v>
      </c>
      <c r="C33" s="167"/>
      <c r="D33" s="167"/>
      <c r="E33" s="167"/>
      <c r="F33" s="167"/>
      <c r="G33" s="167"/>
      <c r="H33" s="167"/>
      <c r="I33" s="167"/>
      <c r="J33" s="167"/>
      <c r="K33" s="167"/>
      <c r="L33" s="167"/>
      <c r="M33" s="167"/>
      <c r="N33" s="167"/>
      <c r="O33" s="167"/>
    </row>
    <row r="35" spans="1:20" ht="64.8" x14ac:dyDescent="0.45">
      <c r="B35" s="165" t="s">
        <v>91</v>
      </c>
      <c r="F35" s="36" t="s">
        <v>90</v>
      </c>
      <c r="H35" s="36" t="s">
        <v>38</v>
      </c>
      <c r="L35" s="29"/>
    </row>
    <row r="36" spans="1:20" x14ac:dyDescent="0.3">
      <c r="B36" s="165"/>
      <c r="E36" s="2" t="s">
        <v>39</v>
      </c>
      <c r="F36" s="37">
        <v>6.2E-2</v>
      </c>
      <c r="H36" s="37">
        <f>F36</f>
        <v>6.2E-2</v>
      </c>
    </row>
    <row r="37" spans="1:20" x14ac:dyDescent="0.3">
      <c r="B37" s="165"/>
      <c r="E37" s="2" t="s">
        <v>40</v>
      </c>
      <c r="F37" s="37">
        <v>1.4500000000000001E-2</v>
      </c>
      <c r="H37" s="37">
        <f>F37</f>
        <v>1.4500000000000001E-2</v>
      </c>
    </row>
    <row r="38" spans="1:20" x14ac:dyDescent="0.3">
      <c r="B38" s="165"/>
      <c r="E38" s="2" t="s">
        <v>41</v>
      </c>
      <c r="F38" s="38">
        <v>0.05</v>
      </c>
      <c r="H38" s="38">
        <v>0</v>
      </c>
    </row>
    <row r="39" spans="1:20" x14ac:dyDescent="0.3">
      <c r="B39" s="165"/>
      <c r="E39" s="144" t="s">
        <v>42</v>
      </c>
      <c r="F39" s="145">
        <f>SUM(F36:F38)</f>
        <v>0.1265</v>
      </c>
      <c r="G39" s="65" t="s">
        <v>173</v>
      </c>
      <c r="H39" s="145">
        <f>SUM(H36:H38)</f>
        <v>7.6499999999999999E-2</v>
      </c>
      <c r="I39" s="65" t="s">
        <v>174</v>
      </c>
    </row>
    <row r="40" spans="1:20" ht="15" thickBot="1" x14ac:dyDescent="0.35">
      <c r="A40" s="161"/>
      <c r="B40" s="161"/>
      <c r="C40" s="161"/>
      <c r="D40" s="161"/>
      <c r="E40" s="161"/>
      <c r="F40" s="161"/>
      <c r="G40" s="161"/>
      <c r="H40" s="161"/>
      <c r="I40" s="161"/>
      <c r="J40" s="161"/>
      <c r="K40" s="161"/>
      <c r="L40" s="161"/>
      <c r="M40" s="161"/>
      <c r="N40" s="161"/>
      <c r="O40" s="161"/>
    </row>
    <row r="41" spans="1:20" x14ac:dyDescent="0.3">
      <c r="B41" s="5"/>
    </row>
    <row r="42" spans="1:20" x14ac:dyDescent="0.3">
      <c r="B42" s="129" t="s">
        <v>225</v>
      </c>
      <c r="L42" s="96"/>
      <c r="O42" s="32"/>
      <c r="P42" s="32"/>
      <c r="Q42" s="32"/>
      <c r="R42" s="32"/>
    </row>
    <row r="44" spans="1:20" x14ac:dyDescent="0.3">
      <c r="D44" s="164" t="s">
        <v>132</v>
      </c>
      <c r="E44" s="164"/>
      <c r="F44" s="164"/>
      <c r="L44" s="96"/>
      <c r="O44" s="32"/>
      <c r="P44" s="32"/>
      <c r="Q44" s="48"/>
      <c r="R44" s="48"/>
    </row>
    <row r="45" spans="1:20" ht="79.2" customHeight="1" x14ac:dyDescent="0.45">
      <c r="C45" s="40" t="s">
        <v>43</v>
      </c>
      <c r="D45" s="40" t="s">
        <v>130</v>
      </c>
      <c r="E45" s="40" t="s">
        <v>133</v>
      </c>
      <c r="F45" s="40" t="s">
        <v>220</v>
      </c>
      <c r="G45" s="40" t="s">
        <v>128</v>
      </c>
      <c r="H45" s="40" t="s">
        <v>129</v>
      </c>
      <c r="I45" s="40" t="s">
        <v>218</v>
      </c>
      <c r="J45" s="40" t="s">
        <v>219</v>
      </c>
      <c r="K45" s="40" t="s">
        <v>168</v>
      </c>
      <c r="L45" s="97" t="s">
        <v>134</v>
      </c>
      <c r="M45" s="40" t="s">
        <v>135</v>
      </c>
      <c r="N45" s="40"/>
      <c r="O45" s="40" t="s">
        <v>136</v>
      </c>
      <c r="P45" s="48"/>
      <c r="Q45" s="48"/>
      <c r="R45" s="48"/>
      <c r="S45" s="48"/>
      <c r="T45" s="48"/>
    </row>
    <row r="46" spans="1:20" ht="16.2" x14ac:dyDescent="0.45">
      <c r="C46" s="10" t="s">
        <v>161</v>
      </c>
      <c r="D46" s="10" t="s">
        <v>36</v>
      </c>
      <c r="E46" s="10" t="s">
        <v>34</v>
      </c>
      <c r="F46" s="10" t="s">
        <v>162</v>
      </c>
      <c r="G46" s="10" t="s">
        <v>67</v>
      </c>
      <c r="H46" s="10" t="s">
        <v>49</v>
      </c>
      <c r="I46" s="10" t="s">
        <v>137</v>
      </c>
      <c r="J46" s="10" t="s">
        <v>163</v>
      </c>
      <c r="K46" s="10" t="s">
        <v>164</v>
      </c>
      <c r="L46" s="10" t="s">
        <v>169</v>
      </c>
      <c r="M46" s="10" t="s">
        <v>170</v>
      </c>
      <c r="N46" s="40"/>
      <c r="O46" s="10" t="s">
        <v>171</v>
      </c>
      <c r="P46" s="48"/>
      <c r="Q46" s="48"/>
      <c r="R46" s="48"/>
      <c r="S46" s="48"/>
      <c r="T46" s="48"/>
    </row>
    <row r="47" spans="1:20" ht="67.8" customHeight="1" x14ac:dyDescent="0.45">
      <c r="B47" s="14" t="s">
        <v>131</v>
      </c>
      <c r="C47" s="98" t="s">
        <v>176</v>
      </c>
      <c r="D47" s="98" t="s">
        <v>176</v>
      </c>
      <c r="E47" s="98" t="s">
        <v>216</v>
      </c>
      <c r="F47" s="98" t="s">
        <v>217</v>
      </c>
      <c r="G47" s="98" t="s">
        <v>177</v>
      </c>
      <c r="H47" s="98" t="s">
        <v>178</v>
      </c>
      <c r="I47" s="98" t="s">
        <v>215</v>
      </c>
      <c r="J47" s="98" t="s">
        <v>179</v>
      </c>
      <c r="K47" s="98" t="s">
        <v>176</v>
      </c>
      <c r="L47" s="98" t="s">
        <v>180</v>
      </c>
      <c r="M47" s="98" t="s">
        <v>181</v>
      </c>
      <c r="N47" s="123"/>
      <c r="O47" s="98" t="s">
        <v>182</v>
      </c>
      <c r="P47" s="99"/>
      <c r="Q47" s="99"/>
      <c r="R47" s="99"/>
      <c r="S47" s="48"/>
      <c r="T47" s="48"/>
    </row>
    <row r="48" spans="1:20" ht="16.2" x14ac:dyDescent="0.45">
      <c r="B48" s="14"/>
      <c r="C48" s="98"/>
      <c r="D48" s="4" t="s">
        <v>223</v>
      </c>
      <c r="E48" s="98">
        <v>12</v>
      </c>
      <c r="F48" s="98">
        <v>10</v>
      </c>
      <c r="G48" s="128" t="s">
        <v>224</v>
      </c>
      <c r="H48" s="98"/>
      <c r="I48" s="98">
        <v>10</v>
      </c>
      <c r="J48" s="98"/>
      <c r="K48" s="4" t="s">
        <v>160</v>
      </c>
      <c r="L48" s="96">
        <v>1.0325</v>
      </c>
      <c r="M48" s="98"/>
      <c r="N48" s="123"/>
      <c r="O48" s="98"/>
      <c r="P48" s="99"/>
      <c r="Q48" s="99"/>
      <c r="R48" s="99"/>
      <c r="S48" s="48"/>
      <c r="T48" s="48"/>
    </row>
    <row r="49" spans="2:20" ht="16.2" x14ac:dyDescent="0.45">
      <c r="B49" s="14"/>
      <c r="C49" s="98"/>
      <c r="D49" s="4"/>
      <c r="E49" s="98"/>
      <c r="F49" s="98">
        <v>150</v>
      </c>
      <c r="G49" s="98"/>
      <c r="H49" s="4" t="s">
        <v>212</v>
      </c>
      <c r="I49" s="122">
        <v>0.3</v>
      </c>
      <c r="J49" s="98"/>
      <c r="K49" s="4"/>
      <c r="L49" s="96"/>
      <c r="M49" s="98"/>
      <c r="N49" s="123"/>
      <c r="O49" s="98"/>
      <c r="P49" s="99"/>
      <c r="Q49" s="99"/>
      <c r="R49" s="99"/>
      <c r="S49" s="48"/>
      <c r="T49" s="48"/>
    </row>
    <row r="50" spans="2:20" x14ac:dyDescent="0.3">
      <c r="B50" s="2" t="s">
        <v>97</v>
      </c>
      <c r="C50" s="100">
        <v>32</v>
      </c>
      <c r="D50" s="42">
        <v>163</v>
      </c>
      <c r="E50" s="143">
        <f>(C50*$E$48)-D50</f>
        <v>221</v>
      </c>
      <c r="F50" s="143">
        <f>IF(C50&lt;$F$48,0,IF(D50&gt;$F$49,$F$49,D50))</f>
        <v>150</v>
      </c>
      <c r="G50" s="142">
        <f t="shared" ref="G50:H54" si="1">+H24</f>
        <v>524</v>
      </c>
      <c r="H50" s="142">
        <f t="shared" si="1"/>
        <v>436</v>
      </c>
      <c r="I50" s="142">
        <f>ROUND((IF(C50&gt;=$I$48,((F50*$I$49)*G50),0)),)</f>
        <v>23580</v>
      </c>
      <c r="J50" s="142">
        <f>E50*H50</f>
        <v>96356</v>
      </c>
      <c r="K50" s="102">
        <v>5</v>
      </c>
      <c r="L50" s="152">
        <f>+$L$48^K50</f>
        <v>1.1734113958293944</v>
      </c>
      <c r="M50" s="142">
        <f>ROUND(+I50*L50,0)</f>
        <v>27669</v>
      </c>
      <c r="N50" s="142"/>
      <c r="O50" s="142">
        <f>ROUND(+J50*L50,0)</f>
        <v>113065</v>
      </c>
      <c r="P50" s="53"/>
      <c r="Q50" s="53"/>
      <c r="R50" s="103"/>
      <c r="S50" s="31"/>
      <c r="T50" s="104"/>
    </row>
    <row r="51" spans="2:20" x14ac:dyDescent="0.3">
      <c r="B51" s="2" t="s">
        <v>98</v>
      </c>
      <c r="C51" s="100">
        <v>6</v>
      </c>
      <c r="D51" s="42">
        <v>50</v>
      </c>
      <c r="E51" s="143">
        <f>(C51*$E$48)-D51</f>
        <v>22</v>
      </c>
      <c r="F51" s="143">
        <f>IF(C51&lt;$F$48,0,IF(D51&gt;$F$49,$F$49,D51))</f>
        <v>0</v>
      </c>
      <c r="G51" s="143">
        <f t="shared" si="1"/>
        <v>173</v>
      </c>
      <c r="H51" s="143">
        <f t="shared" si="1"/>
        <v>168</v>
      </c>
      <c r="I51" s="143">
        <f>ROUND((IF(C51&gt;=$I$48,((F51*$I$49)*G51),0)),)</f>
        <v>0</v>
      </c>
      <c r="J51" s="143">
        <f>E51*H51</f>
        <v>3696</v>
      </c>
      <c r="K51" s="102">
        <v>4</v>
      </c>
      <c r="L51" s="152">
        <f t="shared" ref="L51:L54" si="2">+$L$48^K51</f>
        <v>1.1364759281640624</v>
      </c>
      <c r="M51" s="143">
        <f>ROUND(+I51*L51,0)</f>
        <v>0</v>
      </c>
      <c r="N51" s="153"/>
      <c r="O51" s="143">
        <f>ROUND(+J51*L51,0)</f>
        <v>4200</v>
      </c>
      <c r="P51" s="105"/>
      <c r="Q51" s="105"/>
      <c r="R51" s="21"/>
      <c r="S51" s="31"/>
      <c r="T51" s="104"/>
    </row>
    <row r="52" spans="2:20" x14ac:dyDescent="0.3">
      <c r="B52" s="2" t="s">
        <v>99</v>
      </c>
      <c r="C52" s="100">
        <v>23</v>
      </c>
      <c r="D52" s="42">
        <v>100</v>
      </c>
      <c r="E52" s="143">
        <f>(C52*$E$48)-D52</f>
        <v>176</v>
      </c>
      <c r="F52" s="143">
        <f>IF(C52&lt;$F$48,0,IF(D52&gt;$F$49,$F$49,D52))</f>
        <v>100</v>
      </c>
      <c r="G52" s="143">
        <f t="shared" si="1"/>
        <v>671</v>
      </c>
      <c r="H52" s="143">
        <f t="shared" si="1"/>
        <v>513</v>
      </c>
      <c r="I52" s="143">
        <f>ROUND((IF(C52&gt;=$I$48,((F52*$I$49)*G52),0)),)</f>
        <v>20130</v>
      </c>
      <c r="J52" s="143">
        <f>E52*H52</f>
        <v>90288</v>
      </c>
      <c r="K52" s="102">
        <v>3</v>
      </c>
      <c r="L52" s="152">
        <f t="shared" si="2"/>
        <v>1.1007030781249998</v>
      </c>
      <c r="M52" s="143">
        <f>ROUND(+I52*L52,0)</f>
        <v>22157</v>
      </c>
      <c r="N52" s="153"/>
      <c r="O52" s="143">
        <f>ROUND(+J52*L52,0)</f>
        <v>99380</v>
      </c>
      <c r="P52" s="105"/>
      <c r="Q52" s="105"/>
      <c r="R52" s="21"/>
      <c r="S52" s="31"/>
      <c r="T52" s="104"/>
    </row>
    <row r="53" spans="2:20" x14ac:dyDescent="0.3">
      <c r="B53" s="2" t="s">
        <v>100</v>
      </c>
      <c r="C53" s="100">
        <v>20</v>
      </c>
      <c r="D53" s="42">
        <v>179</v>
      </c>
      <c r="E53" s="143">
        <f>(C53*$E$48)-D53</f>
        <v>61</v>
      </c>
      <c r="F53" s="143">
        <f>IF(C53&lt;$F$48,0,IF(D53&gt;$F$49,$F$49,D53))</f>
        <v>150</v>
      </c>
      <c r="G53" s="143">
        <f t="shared" si="1"/>
        <v>348</v>
      </c>
      <c r="H53" s="143">
        <f t="shared" si="1"/>
        <v>323</v>
      </c>
      <c r="I53" s="143">
        <f>ROUND((IF(C53&gt;=$I$48,((F53*$I$49)*G53),0)),)</f>
        <v>15660</v>
      </c>
      <c r="J53" s="143">
        <f>E53*H53</f>
        <v>19703</v>
      </c>
      <c r="K53" s="102">
        <v>2</v>
      </c>
      <c r="L53" s="152">
        <f t="shared" si="2"/>
        <v>1.0660562499999999</v>
      </c>
      <c r="M53" s="143">
        <f>ROUND(+I53*L53,0)</f>
        <v>16694</v>
      </c>
      <c r="N53" s="153"/>
      <c r="O53" s="143">
        <f>ROUND(+J53*L53,0)</f>
        <v>21005</v>
      </c>
      <c r="P53" s="105"/>
      <c r="Q53" s="105"/>
      <c r="R53" s="21"/>
      <c r="S53" s="31"/>
      <c r="T53" s="104"/>
    </row>
    <row r="54" spans="2:20" ht="16.2" x14ac:dyDescent="0.45">
      <c r="B54" s="2" t="s">
        <v>101</v>
      </c>
      <c r="C54" s="106">
        <v>18</v>
      </c>
      <c r="D54" s="107">
        <v>85</v>
      </c>
      <c r="E54" s="151">
        <f>(C54*$E$48)-D54</f>
        <v>131</v>
      </c>
      <c r="F54" s="151">
        <f>IF(C54&lt;$F$48,0,IF(D54&gt;$F$49,$F$49,D54))</f>
        <v>85</v>
      </c>
      <c r="G54" s="143">
        <f t="shared" si="1"/>
        <v>362</v>
      </c>
      <c r="H54" s="143">
        <f t="shared" si="1"/>
        <v>316</v>
      </c>
      <c r="I54" s="143">
        <f>ROUND((IF(C54&gt;=$I$48,((F54*$I$49)*G54),0)),)</f>
        <v>9231</v>
      </c>
      <c r="J54" s="143">
        <f>E54*H54</f>
        <v>41396</v>
      </c>
      <c r="K54" s="102">
        <v>1</v>
      </c>
      <c r="L54" s="152">
        <f t="shared" si="2"/>
        <v>1.0325</v>
      </c>
      <c r="M54" s="154">
        <f>ROUND(+I54*L54,0)</f>
        <v>9531</v>
      </c>
      <c r="N54" s="153"/>
      <c r="O54" s="154">
        <f>ROUND(+J54*L54,0)</f>
        <v>42741</v>
      </c>
      <c r="P54" s="105"/>
      <c r="Q54" s="105"/>
      <c r="R54" s="105"/>
      <c r="S54" s="31"/>
      <c r="T54" s="104"/>
    </row>
    <row r="55" spans="2:20" x14ac:dyDescent="0.3">
      <c r="B55" s="2" t="s">
        <v>47</v>
      </c>
      <c r="C55" s="45">
        <f>SUM(C50:C54)</f>
        <v>99</v>
      </c>
      <c r="D55" s="45">
        <f>SUM(D50:D54)</f>
        <v>577</v>
      </c>
      <c r="E55" s="45">
        <f>SUM(E50:E54)</f>
        <v>611</v>
      </c>
      <c r="F55" s="45">
        <f>SUM(F50:F54)</f>
        <v>485</v>
      </c>
      <c r="H55" s="103"/>
      <c r="I55" s="108"/>
      <c r="K55" s="31"/>
      <c r="L55" s="31"/>
      <c r="M55" s="142">
        <f>SUM(M50:M54)</f>
        <v>76051</v>
      </c>
      <c r="N55" s="25" t="s">
        <v>172</v>
      </c>
      <c r="O55" s="142">
        <f>SUM(O50:O54)</f>
        <v>280391</v>
      </c>
      <c r="P55" s="109" t="s">
        <v>175</v>
      </c>
      <c r="Q55" s="53"/>
      <c r="R55" s="53"/>
      <c r="S55" s="110"/>
      <c r="T55" s="111"/>
    </row>
    <row r="56" spans="2:20" x14ac:dyDescent="0.3">
      <c r="B56" s="2"/>
      <c r="C56" s="100"/>
      <c r="D56" s="11" t="s">
        <v>185</v>
      </c>
      <c r="E56" s="11" t="s">
        <v>186</v>
      </c>
      <c r="F56" s="11" t="s">
        <v>68</v>
      </c>
      <c r="H56" s="103"/>
      <c r="I56" s="108"/>
      <c r="K56" s="31"/>
      <c r="L56" s="31"/>
      <c r="M56" s="101"/>
      <c r="N56" s="25"/>
      <c r="O56" s="101"/>
      <c r="P56" s="109"/>
      <c r="Q56" s="53"/>
      <c r="R56" s="53"/>
      <c r="S56" s="110"/>
      <c r="T56" s="111"/>
    </row>
    <row r="57" spans="2:20" x14ac:dyDescent="0.3">
      <c r="B57" s="2"/>
      <c r="C57" s="100"/>
      <c r="D57" s="11"/>
      <c r="E57" s="11"/>
      <c r="F57" s="11"/>
      <c r="H57" s="103"/>
      <c r="I57" s="108"/>
      <c r="K57" s="31"/>
      <c r="L57" s="31"/>
      <c r="M57" s="101"/>
      <c r="N57" s="25"/>
      <c r="O57" s="101"/>
      <c r="P57" s="109"/>
      <c r="Q57" s="53"/>
      <c r="R57" s="53"/>
      <c r="S57" s="110"/>
      <c r="T57" s="111"/>
    </row>
    <row r="58" spans="2:20" x14ac:dyDescent="0.3">
      <c r="B58" s="2"/>
      <c r="C58" s="100"/>
      <c r="D58" s="11"/>
      <c r="E58" s="11"/>
      <c r="F58" s="11"/>
      <c r="H58" s="103"/>
      <c r="I58" s="108"/>
      <c r="J58" s="12" t="s">
        <v>111</v>
      </c>
      <c r="K58" s="31"/>
      <c r="L58" s="31"/>
      <c r="M58" s="101"/>
      <c r="N58" s="25"/>
      <c r="O58" s="101"/>
      <c r="P58" s="109"/>
      <c r="Q58" s="53"/>
      <c r="R58" s="53"/>
      <c r="S58" s="110"/>
      <c r="T58" s="111"/>
    </row>
    <row r="59" spans="2:20" x14ac:dyDescent="0.3">
      <c r="F59" s="6"/>
      <c r="G59" s="6"/>
      <c r="J59" s="2" t="s">
        <v>138</v>
      </c>
      <c r="K59" s="2"/>
      <c r="L59" s="11" t="s">
        <v>190</v>
      </c>
      <c r="M59" s="155">
        <f>F55</f>
        <v>485</v>
      </c>
      <c r="N59" s="25"/>
    </row>
    <row r="60" spans="2:20" x14ac:dyDescent="0.3">
      <c r="J60" s="112" t="s">
        <v>139</v>
      </c>
      <c r="K60" s="112"/>
      <c r="L60" s="11" t="s">
        <v>183</v>
      </c>
      <c r="M60" s="156">
        <f>ROUND(M55/M59,0)</f>
        <v>157</v>
      </c>
      <c r="N60" s="25"/>
    </row>
    <row r="61" spans="2:20" x14ac:dyDescent="0.3">
      <c r="N61" s="25"/>
    </row>
    <row r="62" spans="2:20" x14ac:dyDescent="0.3">
      <c r="J62" s="2" t="s">
        <v>140</v>
      </c>
      <c r="K62" s="2"/>
      <c r="L62" s="11" t="s">
        <v>184</v>
      </c>
      <c r="M62" s="113">
        <v>1644</v>
      </c>
      <c r="N62" s="25"/>
    </row>
    <row r="63" spans="2:20" x14ac:dyDescent="0.3">
      <c r="J63" s="2" t="s">
        <v>141</v>
      </c>
      <c r="K63" s="2"/>
      <c r="L63" s="11" t="s">
        <v>191</v>
      </c>
      <c r="M63" s="157">
        <f>G96</f>
        <v>0.40824915824915825</v>
      </c>
      <c r="N63" s="25"/>
    </row>
    <row r="64" spans="2:20" x14ac:dyDescent="0.3">
      <c r="J64" s="2" t="s">
        <v>142</v>
      </c>
      <c r="K64" s="2"/>
      <c r="L64" s="11" t="s">
        <v>192</v>
      </c>
      <c r="M64" s="155">
        <f>ROUND(M62*M63,0)</f>
        <v>671</v>
      </c>
      <c r="N64" s="25"/>
    </row>
    <row r="65" spans="6:20" x14ac:dyDescent="0.3">
      <c r="J65" s="2"/>
      <c r="K65" s="2"/>
      <c r="L65" s="11"/>
      <c r="M65" s="113"/>
      <c r="N65" s="25"/>
    </row>
    <row r="66" spans="6:20" x14ac:dyDescent="0.3">
      <c r="J66" s="2" t="s">
        <v>143</v>
      </c>
      <c r="K66" s="2"/>
      <c r="L66" s="11" t="s">
        <v>193</v>
      </c>
      <c r="M66" s="158">
        <f>ROUND(+M60*M64,0)</f>
        <v>105347</v>
      </c>
      <c r="N66" s="25"/>
    </row>
    <row r="67" spans="6:20" x14ac:dyDescent="0.3">
      <c r="J67" s="2" t="s">
        <v>144</v>
      </c>
      <c r="K67" s="2"/>
      <c r="L67" s="11" t="s">
        <v>194</v>
      </c>
      <c r="M67" s="124">
        <v>0.8</v>
      </c>
      <c r="N67" s="25"/>
    </row>
    <row r="68" spans="6:20" x14ac:dyDescent="0.3">
      <c r="J68" s="2" t="s">
        <v>145</v>
      </c>
      <c r="K68" s="2"/>
      <c r="L68" s="11" t="s">
        <v>195</v>
      </c>
      <c r="M68" s="158">
        <f>ROUND(M66*M67,0)</f>
        <v>84278</v>
      </c>
      <c r="N68" s="25"/>
    </row>
    <row r="69" spans="6:20" x14ac:dyDescent="0.3">
      <c r="J69" s="2"/>
      <c r="K69" s="2"/>
      <c r="L69" s="11"/>
      <c r="M69" s="114"/>
      <c r="N69" s="25"/>
    </row>
    <row r="70" spans="6:20" x14ac:dyDescent="0.3">
      <c r="J70" s="2" t="s">
        <v>146</v>
      </c>
      <c r="K70" s="2"/>
      <c r="L70" s="11" t="s">
        <v>196</v>
      </c>
      <c r="M70" s="159">
        <f>+H39</f>
        <v>7.6499999999999999E-2</v>
      </c>
      <c r="N70" s="25"/>
    </row>
    <row r="71" spans="6:20" x14ac:dyDescent="0.3">
      <c r="J71" s="2" t="s">
        <v>37</v>
      </c>
      <c r="K71" s="2"/>
      <c r="L71" s="11" t="s">
        <v>197</v>
      </c>
      <c r="M71" s="160">
        <f>ROUND(+M68*M70,0)</f>
        <v>6447</v>
      </c>
      <c r="N71" s="25"/>
    </row>
    <row r="72" spans="6:20" x14ac:dyDescent="0.3">
      <c r="M72" s="53"/>
      <c r="N72" s="25"/>
    </row>
    <row r="73" spans="6:20" ht="15" thickBot="1" x14ac:dyDescent="0.35">
      <c r="J73" s="4" t="s">
        <v>147</v>
      </c>
      <c r="K73" s="2"/>
      <c r="L73" s="11" t="s">
        <v>198</v>
      </c>
      <c r="M73" s="66">
        <f>+M71+M68</f>
        <v>90725</v>
      </c>
      <c r="N73" s="25"/>
    </row>
    <row r="74" spans="6:20" ht="15" thickTop="1" x14ac:dyDescent="0.3"/>
    <row r="75" spans="6:20" x14ac:dyDescent="0.3">
      <c r="J75" s="12" t="s">
        <v>226</v>
      </c>
      <c r="N75" s="125"/>
    </row>
    <row r="76" spans="6:20" x14ac:dyDescent="0.3">
      <c r="J76" s="2" t="s">
        <v>148</v>
      </c>
      <c r="K76" s="2"/>
      <c r="L76" s="11" t="s">
        <v>200</v>
      </c>
      <c r="O76" s="155">
        <f>E55</f>
        <v>611</v>
      </c>
      <c r="P76" s="25"/>
      <c r="Q76" s="113"/>
    </row>
    <row r="77" spans="6:20" x14ac:dyDescent="0.3">
      <c r="J77" s="112" t="s">
        <v>149</v>
      </c>
      <c r="K77" s="112"/>
      <c r="L77" s="11" t="s">
        <v>201</v>
      </c>
      <c r="O77" s="158">
        <f>ROUND(+O55/O76,0)</f>
        <v>459</v>
      </c>
      <c r="P77" s="25"/>
      <c r="Q77" s="114"/>
    </row>
    <row r="78" spans="6:20" x14ac:dyDescent="0.3">
      <c r="F78" s="108"/>
      <c r="G78" s="108"/>
      <c r="H78" s="92"/>
      <c r="P78" s="25"/>
    </row>
    <row r="79" spans="6:20" x14ac:dyDescent="0.3">
      <c r="F79" s="108"/>
      <c r="G79" s="108"/>
      <c r="H79" s="92"/>
      <c r="J79" s="2" t="s">
        <v>140</v>
      </c>
      <c r="K79" s="2"/>
      <c r="L79" s="11" t="s">
        <v>202</v>
      </c>
      <c r="O79" s="113">
        <v>1644</v>
      </c>
      <c r="P79" s="25"/>
      <c r="R79" s="113"/>
      <c r="T79" s="115"/>
    </row>
    <row r="80" spans="6:20" x14ac:dyDescent="0.3">
      <c r="F80" s="108"/>
      <c r="G80" s="108"/>
      <c r="H80" s="92"/>
      <c r="J80" s="2" t="s">
        <v>150</v>
      </c>
      <c r="K80" s="2"/>
      <c r="L80" s="11" t="s">
        <v>203</v>
      </c>
      <c r="O80" s="157">
        <f>G95</f>
        <v>0.51430976430976427</v>
      </c>
      <c r="P80" s="25"/>
      <c r="R80" s="113"/>
      <c r="T80" s="115"/>
    </row>
    <row r="81" spans="2:20" x14ac:dyDescent="0.3">
      <c r="F81" s="108"/>
      <c r="G81" s="108"/>
      <c r="H81" s="92"/>
      <c r="J81" s="127" t="s">
        <v>151</v>
      </c>
      <c r="K81" s="116"/>
      <c r="L81" s="11" t="s">
        <v>204</v>
      </c>
      <c r="O81" s="155">
        <f>ROUND(O79*O80,0)</f>
        <v>846</v>
      </c>
      <c r="P81" s="25"/>
      <c r="R81" s="113"/>
      <c r="T81" s="115"/>
    </row>
    <row r="82" spans="2:20" x14ac:dyDescent="0.3">
      <c r="F82" s="108"/>
      <c r="G82" s="108"/>
      <c r="H82" s="108"/>
      <c r="J82" s="2" t="s">
        <v>152</v>
      </c>
      <c r="K82" s="2"/>
      <c r="L82" s="11" t="s">
        <v>205</v>
      </c>
      <c r="O82" s="158">
        <f>ROUND(+O77*O81,0)</f>
        <v>388314</v>
      </c>
      <c r="P82" s="25"/>
      <c r="R82" s="114"/>
      <c r="T82" s="115"/>
    </row>
    <row r="83" spans="2:20" x14ac:dyDescent="0.3">
      <c r="B83" s="2"/>
      <c r="F83" s="108"/>
      <c r="G83" s="108"/>
      <c r="H83" s="108"/>
      <c r="J83" s="2" t="s">
        <v>144</v>
      </c>
      <c r="K83" s="2"/>
      <c r="L83" s="11" t="s">
        <v>206</v>
      </c>
      <c r="O83" s="124">
        <v>0.8</v>
      </c>
      <c r="P83" s="25"/>
      <c r="R83" s="111"/>
      <c r="T83" s="115"/>
    </row>
    <row r="84" spans="2:20" x14ac:dyDescent="0.3">
      <c r="B84" s="2"/>
      <c r="C84" s="117"/>
      <c r="J84" s="2" t="s">
        <v>153</v>
      </c>
      <c r="K84" s="2"/>
      <c r="L84" s="11" t="s">
        <v>207</v>
      </c>
      <c r="M84" s="3"/>
      <c r="N84" s="3"/>
      <c r="O84" s="156">
        <f>ROUND(+O83*O82,0)</f>
        <v>310651</v>
      </c>
      <c r="P84" s="25"/>
      <c r="R84" s="53"/>
    </row>
    <row r="85" spans="2:20" x14ac:dyDescent="0.3">
      <c r="B85" s="2"/>
      <c r="C85" s="46"/>
      <c r="P85" s="25"/>
    </row>
    <row r="86" spans="2:20" x14ac:dyDescent="0.3">
      <c r="B86" s="2"/>
      <c r="J86" s="2" t="s">
        <v>154</v>
      </c>
      <c r="K86" s="2"/>
      <c r="L86" s="11" t="s">
        <v>208</v>
      </c>
      <c r="O86" s="159">
        <v>0.1265</v>
      </c>
      <c r="P86" s="25"/>
      <c r="R86" s="118"/>
    </row>
    <row r="87" spans="2:20" x14ac:dyDescent="0.3">
      <c r="J87" s="2" t="s">
        <v>37</v>
      </c>
      <c r="K87" s="2"/>
      <c r="L87" s="11" t="s">
        <v>209</v>
      </c>
      <c r="O87" s="160">
        <f>ROUND(+O84*O86,0)</f>
        <v>39297</v>
      </c>
      <c r="P87" s="25"/>
      <c r="R87" s="18"/>
    </row>
    <row r="88" spans="2:20" x14ac:dyDescent="0.3">
      <c r="B88" s="2"/>
      <c r="C88" s="31"/>
      <c r="O88" s="53"/>
      <c r="P88" s="25"/>
      <c r="R88" s="53"/>
    </row>
    <row r="89" spans="2:20" ht="15" thickBot="1" x14ac:dyDescent="0.35">
      <c r="B89" s="2"/>
      <c r="C89" s="31"/>
      <c r="J89" s="4" t="s">
        <v>155</v>
      </c>
      <c r="K89" s="2"/>
      <c r="L89" s="11" t="s">
        <v>210</v>
      </c>
      <c r="O89" s="66">
        <f>+O87+O84</f>
        <v>349948</v>
      </c>
      <c r="P89" s="25"/>
      <c r="R89" s="54"/>
    </row>
    <row r="90" spans="2:20" ht="15" thickTop="1" x14ac:dyDescent="0.3">
      <c r="D90" s="119"/>
      <c r="E90" s="119"/>
      <c r="O90" s="53"/>
      <c r="P90" s="25"/>
      <c r="R90" s="53"/>
    </row>
    <row r="91" spans="2:20" ht="15" thickBot="1" x14ac:dyDescent="0.35">
      <c r="J91" s="4" t="s">
        <v>156</v>
      </c>
      <c r="K91" s="2"/>
      <c r="L91" s="11" t="s">
        <v>211</v>
      </c>
      <c r="O91" s="66">
        <f>+O89+M73</f>
        <v>440673</v>
      </c>
      <c r="P91" s="25"/>
      <c r="R91" s="54"/>
    </row>
    <row r="92" spans="2:20" ht="15" thickTop="1" x14ac:dyDescent="0.3"/>
    <row r="93" spans="2:20" x14ac:dyDescent="0.3">
      <c r="B93" s="130"/>
      <c r="C93" s="7"/>
      <c r="D93" s="7"/>
      <c r="E93" s="7"/>
      <c r="F93" s="131"/>
      <c r="G93" s="132"/>
      <c r="H93" s="133"/>
    </row>
    <row r="94" spans="2:20" x14ac:dyDescent="0.3">
      <c r="B94" s="134"/>
      <c r="E94" s="6"/>
      <c r="F94" s="2" t="s">
        <v>157</v>
      </c>
      <c r="G94" s="140">
        <f>D55+E55</f>
        <v>1188</v>
      </c>
      <c r="H94" s="136" t="s">
        <v>187</v>
      </c>
    </row>
    <row r="95" spans="2:20" x14ac:dyDescent="0.3">
      <c r="B95" s="134"/>
      <c r="F95" s="2" t="s">
        <v>158</v>
      </c>
      <c r="G95" s="135">
        <f>E55/G94</f>
        <v>0.51430976430976427</v>
      </c>
      <c r="H95" s="136" t="s">
        <v>188</v>
      </c>
    </row>
    <row r="96" spans="2:20" x14ac:dyDescent="0.3">
      <c r="B96" s="134"/>
      <c r="F96" s="2" t="s">
        <v>159</v>
      </c>
      <c r="G96" s="135">
        <f>F55/G94</f>
        <v>0.40824915824915825</v>
      </c>
      <c r="H96" s="136" t="s">
        <v>189</v>
      </c>
    </row>
    <row r="97" spans="1:15" x14ac:dyDescent="0.3">
      <c r="B97" s="137"/>
      <c r="C97" s="33"/>
      <c r="D97" s="33"/>
      <c r="E97" s="33"/>
      <c r="F97" s="33"/>
      <c r="G97" s="138"/>
      <c r="H97" s="139"/>
    </row>
    <row r="98" spans="1:15" x14ac:dyDescent="0.3">
      <c r="B98" s="2"/>
      <c r="D98" s="25"/>
      <c r="F98" s="103"/>
      <c r="G98" s="103"/>
      <c r="H98" s="103"/>
    </row>
    <row r="99" spans="1:15" x14ac:dyDescent="0.3">
      <c r="B99" s="2"/>
      <c r="D99" s="25"/>
    </row>
    <row r="100" spans="1:15" x14ac:dyDescent="0.3">
      <c r="B100" s="2"/>
      <c r="D100" s="25"/>
    </row>
    <row r="101" spans="1:15" x14ac:dyDescent="0.3">
      <c r="B101" s="2"/>
      <c r="D101" s="25"/>
    </row>
    <row r="103" spans="1:15" ht="15" thickBot="1" x14ac:dyDescent="0.35">
      <c r="A103" s="161"/>
      <c r="B103" s="161"/>
      <c r="C103" s="161"/>
      <c r="D103" s="161"/>
      <c r="E103" s="161"/>
      <c r="F103" s="161"/>
      <c r="G103" s="161"/>
      <c r="H103" s="161"/>
      <c r="I103" s="161"/>
      <c r="J103" s="161"/>
      <c r="K103" s="161"/>
      <c r="L103" s="161"/>
      <c r="M103" s="161"/>
      <c r="N103" s="161"/>
      <c r="O103" s="161"/>
    </row>
  </sheetData>
  <mergeCells count="8">
    <mergeCell ref="D44:F44"/>
    <mergeCell ref="B35:B39"/>
    <mergeCell ref="B4:O4"/>
    <mergeCell ref="B6:O6"/>
    <mergeCell ref="B12:O12"/>
    <mergeCell ref="B33:O33"/>
    <mergeCell ref="B22:B28"/>
    <mergeCell ref="B19:O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D202A-174A-4048-85BC-247F467CE015}">
  <dimension ref="A1:AF99"/>
  <sheetViews>
    <sheetView showGridLines="0" zoomScale="80" zoomScaleNormal="80" workbookViewId="0">
      <selection activeCell="C24" sqref="C24"/>
    </sheetView>
  </sheetViews>
  <sheetFormatPr defaultRowHeight="14.4" x14ac:dyDescent="0.3"/>
  <cols>
    <col min="1" max="1" width="6.109375" customWidth="1"/>
    <col min="2" max="2" width="33.44140625" customWidth="1"/>
    <col min="3" max="3" width="34.6640625" style="2" customWidth="1"/>
    <col min="4" max="4" width="18.5546875" customWidth="1"/>
    <col min="5" max="10" width="14.5546875" customWidth="1"/>
    <col min="11" max="11" width="18.44140625" customWidth="1"/>
    <col min="12" max="12" width="14.5546875" customWidth="1"/>
    <col min="13" max="13" width="4.109375" customWidth="1"/>
    <col min="14" max="18" width="13.109375" customWidth="1"/>
    <col min="19" max="19" width="16.77734375" customWidth="1"/>
    <col min="20" max="20" width="12.5546875" bestFit="1" customWidth="1"/>
    <col min="21" max="22" width="13.5546875" customWidth="1"/>
    <col min="23" max="23" width="16" customWidth="1"/>
    <col min="24" max="25" width="13.77734375" customWidth="1"/>
    <col min="26" max="26" width="15.77734375" bestFit="1" customWidth="1"/>
    <col min="27" max="27" width="15.77734375" customWidth="1"/>
    <col min="28" max="28" width="12.77734375" bestFit="1" customWidth="1"/>
    <col min="29" max="29" width="13.21875" bestFit="1" customWidth="1"/>
    <col min="30" max="30" width="13.5546875" customWidth="1"/>
    <col min="31" max="32" width="16.44140625" customWidth="1"/>
    <col min="33" max="33" width="12" bestFit="1" customWidth="1"/>
    <col min="34" max="34" width="13.5546875" bestFit="1" customWidth="1"/>
    <col min="35" max="35" width="12.21875" bestFit="1" customWidth="1"/>
  </cols>
  <sheetData>
    <row r="1" spans="1:16" x14ac:dyDescent="0.3">
      <c r="B1" s="1" t="s">
        <v>0</v>
      </c>
      <c r="D1" s="3"/>
    </row>
    <row r="2" spans="1:16" x14ac:dyDescent="0.3">
      <c r="B2" s="1" t="s">
        <v>199</v>
      </c>
      <c r="D2" s="3"/>
    </row>
    <row r="3" spans="1:16" ht="15" thickBot="1" x14ac:dyDescent="0.35">
      <c r="A3" s="162"/>
      <c r="B3" s="161"/>
      <c r="C3" s="163"/>
      <c r="D3" s="161"/>
      <c r="E3" s="161"/>
      <c r="F3" s="161"/>
      <c r="G3" s="161"/>
      <c r="H3" s="161"/>
      <c r="I3" s="161"/>
      <c r="J3" s="161"/>
      <c r="K3" s="161"/>
      <c r="L3" s="161"/>
      <c r="M3" s="161"/>
      <c r="P3" s="5"/>
    </row>
    <row r="4" spans="1:16" x14ac:dyDescent="0.3">
      <c r="A4" s="6"/>
      <c r="P4" s="5"/>
    </row>
    <row r="5" spans="1:16" x14ac:dyDescent="0.3">
      <c r="B5" s="5" t="s">
        <v>85</v>
      </c>
      <c r="D5" s="3"/>
    </row>
    <row r="6" spans="1:16" x14ac:dyDescent="0.3">
      <c r="B6" s="5"/>
      <c r="D6" s="3"/>
    </row>
    <row r="7" spans="1:16" x14ac:dyDescent="0.3">
      <c r="B7" s="5" t="s">
        <v>87</v>
      </c>
      <c r="D7" s="3"/>
    </row>
    <row r="8" spans="1:16" x14ac:dyDescent="0.3">
      <c r="B8" s="5"/>
      <c r="C8" s="5"/>
      <c r="D8" s="5"/>
      <c r="E8" s="5"/>
      <c r="F8" s="5"/>
      <c r="G8" s="5"/>
      <c r="H8" s="5"/>
      <c r="I8" s="5"/>
      <c r="J8" s="5"/>
      <c r="K8" s="5"/>
      <c r="L8" s="5"/>
    </row>
    <row r="9" spans="1:16" x14ac:dyDescent="0.3">
      <c r="B9" s="59" t="s">
        <v>82</v>
      </c>
      <c r="D9" s="3"/>
    </row>
    <row r="10" spans="1:16" x14ac:dyDescent="0.3">
      <c r="B10" s="5" t="s">
        <v>1</v>
      </c>
    </row>
    <row r="11" spans="1:16" x14ac:dyDescent="0.3">
      <c r="B11" s="166" t="s">
        <v>234</v>
      </c>
      <c r="C11" s="167"/>
      <c r="D11" s="167"/>
      <c r="E11" s="167"/>
      <c r="F11" s="167"/>
      <c r="G11" s="167"/>
      <c r="H11" s="167"/>
      <c r="I11" s="167"/>
      <c r="J11" s="167"/>
      <c r="K11" s="167"/>
      <c r="L11" s="167"/>
      <c r="M11" s="167"/>
    </row>
    <row r="12" spans="1:16" x14ac:dyDescent="0.3">
      <c r="B12" s="5" t="s">
        <v>2</v>
      </c>
    </row>
    <row r="13" spans="1:16" ht="15" thickBot="1" x14ac:dyDescent="0.35">
      <c r="A13" s="162"/>
      <c r="B13" s="161"/>
      <c r="C13" s="163"/>
      <c r="D13" s="161"/>
      <c r="E13" s="161"/>
      <c r="F13" s="161"/>
      <c r="G13" s="161"/>
      <c r="H13" s="161"/>
      <c r="I13" s="161"/>
      <c r="J13" s="161"/>
      <c r="K13" s="161"/>
      <c r="L13" s="161"/>
      <c r="M13" s="161"/>
      <c r="P13" s="6"/>
    </row>
    <row r="14" spans="1:16" x14ac:dyDescent="0.3">
      <c r="A14" s="7"/>
      <c r="B14" s="7"/>
      <c r="C14" s="8"/>
      <c r="D14" s="9"/>
      <c r="E14" s="7"/>
      <c r="F14" s="7"/>
      <c r="G14" s="7"/>
      <c r="H14" s="7"/>
      <c r="I14" s="7"/>
      <c r="J14" s="7"/>
      <c r="K14" s="7"/>
      <c r="L14" s="7"/>
      <c r="M14" s="7"/>
      <c r="P14" s="6"/>
    </row>
    <row r="15" spans="1:16" x14ac:dyDescent="0.3">
      <c r="B15" s="59" t="s">
        <v>83</v>
      </c>
      <c r="D15" s="3"/>
      <c r="P15" s="6"/>
    </row>
    <row r="16" spans="1:16" ht="81" customHeight="1" x14ac:dyDescent="0.3">
      <c r="B16" s="166" t="s">
        <v>235</v>
      </c>
      <c r="C16" s="167"/>
      <c r="D16" s="167"/>
      <c r="E16" s="167"/>
      <c r="F16" s="167"/>
      <c r="G16" s="167"/>
      <c r="H16" s="167"/>
      <c r="I16" s="167"/>
      <c r="J16" s="167"/>
      <c r="K16" s="167"/>
      <c r="L16" s="167"/>
      <c r="P16" s="5"/>
    </row>
    <row r="17" spans="2:18" x14ac:dyDescent="0.3">
      <c r="B17" s="5"/>
      <c r="D17" s="3"/>
      <c r="P17" s="6"/>
    </row>
    <row r="18" spans="2:18" ht="28.2" customHeight="1" x14ac:dyDescent="0.3">
      <c r="B18" s="166" t="s">
        <v>106</v>
      </c>
      <c r="C18" s="167"/>
      <c r="D18" s="167"/>
      <c r="E18" s="167"/>
      <c r="F18" s="167"/>
      <c r="G18" s="167"/>
      <c r="H18" s="167"/>
      <c r="I18" s="167"/>
      <c r="J18" s="167"/>
      <c r="K18" s="167"/>
      <c r="L18" s="167"/>
      <c r="P18" s="6"/>
    </row>
    <row r="19" spans="2:18" x14ac:dyDescent="0.3">
      <c r="D19" s="3"/>
      <c r="P19" s="6"/>
    </row>
    <row r="20" spans="2:18" x14ac:dyDescent="0.3">
      <c r="D20" s="3"/>
      <c r="P20" s="6"/>
    </row>
    <row r="21" spans="2:18" x14ac:dyDescent="0.3">
      <c r="B21" s="165" t="s">
        <v>233</v>
      </c>
      <c r="C21" s="4"/>
      <c r="D21" s="10" t="s">
        <v>3</v>
      </c>
      <c r="E21" s="10" t="s">
        <v>4</v>
      </c>
      <c r="F21" s="10" t="s">
        <v>5</v>
      </c>
      <c r="G21" s="10" t="s">
        <v>6</v>
      </c>
      <c r="H21" s="10" t="s">
        <v>7</v>
      </c>
      <c r="I21" s="11" t="s">
        <v>8</v>
      </c>
      <c r="J21" s="11" t="s">
        <v>9</v>
      </c>
      <c r="K21" s="12"/>
      <c r="L21" s="2" t="s">
        <v>10</v>
      </c>
      <c r="N21" s="4"/>
      <c r="Q21" s="13"/>
    </row>
    <row r="22" spans="2:18" x14ac:dyDescent="0.3">
      <c r="B22" s="165"/>
      <c r="C22" s="4"/>
      <c r="D22" s="62" t="s">
        <v>86</v>
      </c>
      <c r="E22" s="62"/>
      <c r="F22" s="62"/>
      <c r="G22" s="62"/>
      <c r="H22" s="62"/>
      <c r="I22" s="12"/>
      <c r="J22" s="2" t="s">
        <v>11</v>
      </c>
      <c r="K22" s="12"/>
      <c r="L22" s="2" t="s">
        <v>12</v>
      </c>
      <c r="N22" s="4"/>
      <c r="Q22" s="13"/>
    </row>
    <row r="23" spans="2:18" ht="16.2" x14ac:dyDescent="0.45">
      <c r="B23" s="165"/>
      <c r="C23" s="4" t="s">
        <v>236</v>
      </c>
      <c r="D23" s="63" t="s">
        <v>13</v>
      </c>
      <c r="E23" s="63" t="s">
        <v>14</v>
      </c>
      <c r="F23" s="63" t="s">
        <v>15</v>
      </c>
      <c r="G23" s="63" t="s">
        <v>16</v>
      </c>
      <c r="H23" s="63" t="s">
        <v>17</v>
      </c>
      <c r="I23" s="63" t="s">
        <v>18</v>
      </c>
      <c r="J23" s="63" t="s">
        <v>19</v>
      </c>
      <c r="K23" s="64" t="s">
        <v>20</v>
      </c>
      <c r="L23" s="64" t="s">
        <v>21</v>
      </c>
      <c r="N23" s="15"/>
      <c r="O23" s="15"/>
      <c r="R23" s="15"/>
    </row>
    <row r="24" spans="2:18" x14ac:dyDescent="0.3">
      <c r="B24" s="165"/>
      <c r="C24" s="2" t="s">
        <v>22</v>
      </c>
      <c r="D24">
        <v>10</v>
      </c>
      <c r="E24">
        <v>4</v>
      </c>
      <c r="F24">
        <v>5</v>
      </c>
      <c r="G24">
        <v>3</v>
      </c>
      <c r="H24">
        <v>3</v>
      </c>
      <c r="I24" s="16">
        <f t="shared" ref="I24:I33" si="0">SUM(D24:H24)</f>
        <v>25</v>
      </c>
      <c r="J24" s="17">
        <f>+I24/5</f>
        <v>5</v>
      </c>
      <c r="K24" s="18">
        <v>58000</v>
      </c>
      <c r="L24" s="19">
        <f t="shared" ref="L24:L25" si="1">+K24/2080</f>
        <v>27.884615384615383</v>
      </c>
      <c r="N24" s="20"/>
      <c r="O24" s="6"/>
      <c r="R24" s="6"/>
    </row>
    <row r="25" spans="2:18" x14ac:dyDescent="0.3">
      <c r="B25" s="165"/>
      <c r="C25" s="2" t="s">
        <v>23</v>
      </c>
      <c r="D25">
        <v>4</v>
      </c>
      <c r="E25">
        <v>8</v>
      </c>
      <c r="F25">
        <v>4</v>
      </c>
      <c r="G25">
        <v>4</v>
      </c>
      <c r="H25">
        <v>4</v>
      </c>
      <c r="I25" s="16">
        <f t="shared" si="0"/>
        <v>24</v>
      </c>
      <c r="J25" s="17">
        <f t="shared" ref="J25:J32" si="2">+I25/5</f>
        <v>4.8</v>
      </c>
      <c r="K25" s="21">
        <v>62000</v>
      </c>
      <c r="L25" s="17">
        <f t="shared" si="1"/>
        <v>29.807692307692307</v>
      </c>
      <c r="N25" s="20"/>
      <c r="O25" s="6"/>
      <c r="R25" s="6"/>
    </row>
    <row r="26" spans="2:18" x14ac:dyDescent="0.3">
      <c r="B26" s="165"/>
      <c r="C26" s="2" t="s">
        <v>24</v>
      </c>
      <c r="D26">
        <v>2</v>
      </c>
      <c r="E26">
        <v>5</v>
      </c>
      <c r="F26">
        <v>2</v>
      </c>
      <c r="G26">
        <v>3</v>
      </c>
      <c r="H26">
        <v>2</v>
      </c>
      <c r="I26" s="16">
        <f t="shared" si="0"/>
        <v>14</v>
      </c>
      <c r="J26" s="17">
        <f t="shared" si="2"/>
        <v>2.8</v>
      </c>
      <c r="K26" s="21">
        <v>120000</v>
      </c>
      <c r="L26" s="17">
        <f>+K26/2080</f>
        <v>57.692307692307693</v>
      </c>
      <c r="N26" s="20"/>
      <c r="O26" s="6"/>
      <c r="R26" s="6"/>
    </row>
    <row r="27" spans="2:18" x14ac:dyDescent="0.3">
      <c r="B27" s="165"/>
      <c r="C27" s="2" t="s">
        <v>25</v>
      </c>
      <c r="D27">
        <v>8</v>
      </c>
      <c r="E27">
        <v>9</v>
      </c>
      <c r="F27">
        <v>7</v>
      </c>
      <c r="G27">
        <v>7</v>
      </c>
      <c r="H27">
        <v>8</v>
      </c>
      <c r="I27" s="16">
        <f t="shared" si="0"/>
        <v>39</v>
      </c>
      <c r="J27" s="17">
        <f t="shared" si="2"/>
        <v>7.8</v>
      </c>
      <c r="K27" s="21">
        <v>90000</v>
      </c>
      <c r="L27" s="17">
        <f t="shared" ref="L27:L33" si="3">+K27/2080</f>
        <v>43.269230769230766</v>
      </c>
      <c r="N27" s="20"/>
      <c r="O27" s="6"/>
      <c r="R27" s="6"/>
    </row>
    <row r="28" spans="2:18" x14ac:dyDescent="0.3">
      <c r="B28" s="165"/>
      <c r="C28" s="2" t="s">
        <v>26</v>
      </c>
      <c r="D28">
        <v>6</v>
      </c>
      <c r="E28">
        <v>12</v>
      </c>
      <c r="F28">
        <v>8</v>
      </c>
      <c r="G28">
        <v>9</v>
      </c>
      <c r="H28">
        <v>7</v>
      </c>
      <c r="I28" s="16">
        <f t="shared" si="0"/>
        <v>42</v>
      </c>
      <c r="J28" s="17">
        <f>+I28/5</f>
        <v>8.4</v>
      </c>
      <c r="K28" s="21">
        <v>100000</v>
      </c>
      <c r="L28" s="17">
        <f t="shared" si="3"/>
        <v>48.07692307692308</v>
      </c>
      <c r="N28" s="20"/>
      <c r="O28" s="6"/>
      <c r="R28" s="6"/>
    </row>
    <row r="29" spans="2:18" x14ac:dyDescent="0.3">
      <c r="B29" s="165"/>
      <c r="C29" s="2" t="s">
        <v>27</v>
      </c>
      <c r="D29">
        <v>4</v>
      </c>
      <c r="E29">
        <v>4</v>
      </c>
      <c r="F29">
        <v>3</v>
      </c>
      <c r="G29">
        <v>4</v>
      </c>
      <c r="H29">
        <v>3</v>
      </c>
      <c r="I29" s="16">
        <f t="shared" si="0"/>
        <v>18</v>
      </c>
      <c r="J29" s="17">
        <f t="shared" si="2"/>
        <v>3.6</v>
      </c>
      <c r="K29" s="21">
        <v>62000</v>
      </c>
      <c r="L29" s="17">
        <f t="shared" si="3"/>
        <v>29.807692307692307</v>
      </c>
      <c r="N29" s="20"/>
      <c r="O29" s="6"/>
      <c r="R29" s="6"/>
    </row>
    <row r="30" spans="2:18" x14ac:dyDescent="0.3">
      <c r="B30" s="165"/>
      <c r="C30" s="2" t="s">
        <v>28</v>
      </c>
      <c r="D30">
        <v>7</v>
      </c>
      <c r="E30">
        <v>2</v>
      </c>
      <c r="F30">
        <v>3</v>
      </c>
      <c r="G30">
        <v>3</v>
      </c>
      <c r="H30">
        <v>2</v>
      </c>
      <c r="I30" s="16">
        <f t="shared" si="0"/>
        <v>17</v>
      </c>
      <c r="J30" s="17">
        <f t="shared" si="2"/>
        <v>3.4</v>
      </c>
      <c r="K30" s="21">
        <v>70000</v>
      </c>
      <c r="L30" s="17">
        <f t="shared" si="3"/>
        <v>33.653846153846153</v>
      </c>
      <c r="N30" s="20"/>
      <c r="O30" s="22"/>
      <c r="R30" s="6"/>
    </row>
    <row r="31" spans="2:18" x14ac:dyDescent="0.3">
      <c r="B31" s="165"/>
      <c r="C31" s="2" t="s">
        <v>29</v>
      </c>
      <c r="D31">
        <v>8</v>
      </c>
      <c r="E31">
        <v>2</v>
      </c>
      <c r="F31">
        <v>5</v>
      </c>
      <c r="G31">
        <v>4</v>
      </c>
      <c r="H31">
        <v>10</v>
      </c>
      <c r="I31" s="16">
        <f t="shared" si="0"/>
        <v>29</v>
      </c>
      <c r="J31" s="17">
        <f t="shared" si="2"/>
        <v>5.8</v>
      </c>
      <c r="K31" s="21">
        <v>44000</v>
      </c>
      <c r="L31" s="17">
        <f t="shared" si="3"/>
        <v>21.153846153846153</v>
      </c>
      <c r="N31" s="20"/>
      <c r="O31" s="6"/>
      <c r="R31" s="6"/>
    </row>
    <row r="32" spans="2:18" x14ac:dyDescent="0.3">
      <c r="B32" s="165"/>
      <c r="C32" s="2" t="s">
        <v>30</v>
      </c>
      <c r="D32">
        <v>6</v>
      </c>
      <c r="E32">
        <v>4</v>
      </c>
      <c r="F32">
        <v>4</v>
      </c>
      <c r="G32">
        <v>4</v>
      </c>
      <c r="H32">
        <v>2</v>
      </c>
      <c r="I32" s="16">
        <f t="shared" si="0"/>
        <v>20</v>
      </c>
      <c r="J32" s="17">
        <f t="shared" si="2"/>
        <v>4</v>
      </c>
      <c r="K32" s="21">
        <v>88000</v>
      </c>
      <c r="L32" s="17">
        <f t="shared" si="3"/>
        <v>42.307692307692307</v>
      </c>
      <c r="N32" s="20"/>
      <c r="O32" s="6"/>
      <c r="R32" s="6"/>
    </row>
    <row r="33" spans="1:20" x14ac:dyDescent="0.3">
      <c r="B33" s="165"/>
      <c r="C33" s="2" t="s">
        <v>31</v>
      </c>
      <c r="D33">
        <v>4</v>
      </c>
      <c r="E33">
        <v>5</v>
      </c>
      <c r="F33">
        <v>4</v>
      </c>
      <c r="G33">
        <v>6</v>
      </c>
      <c r="H33">
        <v>4</v>
      </c>
      <c r="I33" s="16">
        <f t="shared" si="0"/>
        <v>23</v>
      </c>
      <c r="J33" s="17">
        <f>+I33/5</f>
        <v>4.5999999999999996</v>
      </c>
      <c r="K33" s="21">
        <v>83000</v>
      </c>
      <c r="L33" s="17">
        <f t="shared" si="3"/>
        <v>39.903846153846153</v>
      </c>
      <c r="N33" s="20"/>
      <c r="O33" s="6"/>
      <c r="R33" s="6"/>
    </row>
    <row r="34" spans="1:20" x14ac:dyDescent="0.3">
      <c r="B34" s="165"/>
      <c r="H34" s="23"/>
      <c r="I34" s="23" t="s">
        <v>32</v>
      </c>
      <c r="J34" s="24">
        <f>AVERAGE(J24:J33)</f>
        <v>5.0200000000000005</v>
      </c>
      <c r="K34" s="148" t="s">
        <v>33</v>
      </c>
      <c r="L34" s="147">
        <f>ROUND(AVERAGE(L24:L33),2)</f>
        <v>37.36</v>
      </c>
      <c r="M34" s="10" t="s">
        <v>34</v>
      </c>
      <c r="N34" s="26"/>
      <c r="R34" s="6"/>
    </row>
    <row r="35" spans="1:20" x14ac:dyDescent="0.3">
      <c r="B35" s="165"/>
      <c r="I35" s="23" t="s">
        <v>84</v>
      </c>
      <c r="J35" s="60">
        <v>12</v>
      </c>
      <c r="N35" s="3"/>
      <c r="R35" s="27"/>
      <c r="T35" s="28"/>
    </row>
    <row r="36" spans="1:20" ht="15" thickBot="1" x14ac:dyDescent="0.35">
      <c r="B36" s="165"/>
      <c r="I36" s="144" t="s">
        <v>35</v>
      </c>
      <c r="J36" s="146">
        <f>+J34/J35</f>
        <v>0.41833333333333339</v>
      </c>
      <c r="K36" s="30" t="s">
        <v>36</v>
      </c>
      <c r="N36" s="3"/>
      <c r="P36" s="31"/>
      <c r="Q36" s="31"/>
      <c r="R36" s="27"/>
      <c r="T36" s="28"/>
    </row>
    <row r="37" spans="1:20" ht="15.6" thickTop="1" thickBot="1" x14ac:dyDescent="0.35">
      <c r="A37" s="162"/>
      <c r="B37" s="161"/>
      <c r="C37" s="163"/>
      <c r="D37" s="161"/>
      <c r="E37" s="161"/>
      <c r="F37" s="161"/>
      <c r="G37" s="161"/>
      <c r="H37" s="161"/>
      <c r="I37" s="161"/>
      <c r="J37" s="161"/>
      <c r="K37" s="161"/>
      <c r="L37" s="161"/>
      <c r="M37" s="161"/>
      <c r="N37" s="34"/>
    </row>
    <row r="38" spans="1:20" x14ac:dyDescent="0.3">
      <c r="A38" s="6"/>
      <c r="B38" s="6"/>
      <c r="K38" s="61"/>
      <c r="L38" s="29"/>
      <c r="M38" s="29"/>
      <c r="N38" s="34"/>
    </row>
    <row r="39" spans="1:20" x14ac:dyDescent="0.3">
      <c r="A39" s="6"/>
      <c r="B39" s="59" t="s">
        <v>37</v>
      </c>
      <c r="K39" s="61"/>
      <c r="L39" s="29"/>
      <c r="M39" s="29"/>
      <c r="N39" s="34"/>
    </row>
    <row r="40" spans="1:20" x14ac:dyDescent="0.3">
      <c r="A40" s="6"/>
      <c r="B40" t="s">
        <v>89</v>
      </c>
      <c r="K40" s="61"/>
      <c r="L40" s="29"/>
      <c r="M40" s="29"/>
      <c r="N40" s="34"/>
    </row>
    <row r="41" spans="1:20" x14ac:dyDescent="0.3">
      <c r="A41" s="6"/>
      <c r="K41" s="61"/>
      <c r="L41" s="29"/>
      <c r="M41" s="29"/>
      <c r="N41" s="34"/>
    </row>
    <row r="42" spans="1:20" ht="48" customHeight="1" x14ac:dyDescent="0.3">
      <c r="A42" s="6"/>
      <c r="B42" s="167" t="s">
        <v>88</v>
      </c>
      <c r="C42" s="167"/>
      <c r="D42" s="167"/>
      <c r="E42" s="167"/>
      <c r="F42" s="167"/>
      <c r="G42" s="167"/>
      <c r="H42" s="167"/>
      <c r="I42" s="167"/>
      <c r="J42" s="167"/>
      <c r="K42" s="167"/>
      <c r="L42" s="167"/>
      <c r="M42" s="29"/>
      <c r="N42" s="34"/>
    </row>
    <row r="43" spans="1:20" x14ac:dyDescent="0.3">
      <c r="C43"/>
    </row>
    <row r="44" spans="1:20" ht="40.799999999999997" customHeight="1" x14ac:dyDescent="0.45">
      <c r="B44" s="165" t="s">
        <v>91</v>
      </c>
      <c r="C44"/>
      <c r="D44" s="36" t="s">
        <v>90</v>
      </c>
      <c r="F44" s="36" t="s">
        <v>38</v>
      </c>
      <c r="L44" s="29"/>
      <c r="M44" s="29"/>
      <c r="N44" s="35"/>
    </row>
    <row r="45" spans="1:20" x14ac:dyDescent="0.3">
      <c r="B45" s="165"/>
      <c r="C45" t="s">
        <v>39</v>
      </c>
      <c r="D45" s="37">
        <v>6.2E-2</v>
      </c>
      <c r="F45" s="37">
        <f>D45</f>
        <v>6.2E-2</v>
      </c>
    </row>
    <row r="46" spans="1:20" x14ac:dyDescent="0.3">
      <c r="B46" s="165"/>
      <c r="C46" t="s">
        <v>40</v>
      </c>
      <c r="D46" s="37">
        <v>1.4500000000000001E-2</v>
      </c>
      <c r="F46" s="37">
        <f>D46</f>
        <v>1.4500000000000001E-2</v>
      </c>
    </row>
    <row r="47" spans="1:20" x14ac:dyDescent="0.3">
      <c r="B47" s="165"/>
      <c r="C47" t="s">
        <v>41</v>
      </c>
      <c r="D47" s="38">
        <v>0.05</v>
      </c>
      <c r="F47" s="38">
        <v>0</v>
      </c>
    </row>
    <row r="48" spans="1:20" x14ac:dyDescent="0.3">
      <c r="B48" s="165"/>
      <c r="C48" s="149" t="s">
        <v>42</v>
      </c>
      <c r="D48" s="145">
        <f>SUM(D45:D47)</f>
        <v>0.1265</v>
      </c>
      <c r="E48" s="65" t="s">
        <v>68</v>
      </c>
      <c r="F48" s="39">
        <f>SUM(F45:F47)</f>
        <v>7.6499999999999999E-2</v>
      </c>
      <c r="G48" s="65" t="s">
        <v>69</v>
      </c>
    </row>
    <row r="49" spans="1:14" ht="15" thickBot="1" x14ac:dyDescent="0.35">
      <c r="A49" s="162"/>
      <c r="B49" s="161"/>
      <c r="C49" s="163"/>
      <c r="D49" s="161"/>
      <c r="E49" s="161"/>
      <c r="F49" s="161"/>
      <c r="G49" s="161"/>
      <c r="H49" s="161"/>
      <c r="I49" s="161"/>
      <c r="J49" s="161"/>
      <c r="K49" s="161"/>
      <c r="L49" s="161"/>
      <c r="M49" s="161"/>
      <c r="N49" s="29"/>
    </row>
    <row r="50" spans="1:14" x14ac:dyDescent="0.3">
      <c r="L50" s="29"/>
      <c r="M50" s="29"/>
      <c r="N50" s="35"/>
    </row>
    <row r="51" spans="1:14" x14ac:dyDescent="0.3">
      <c r="B51" s="68" t="s">
        <v>104</v>
      </c>
      <c r="L51" s="29"/>
      <c r="M51" s="29"/>
      <c r="N51" s="35"/>
    </row>
    <row r="52" spans="1:14" ht="55.2" customHeight="1" x14ac:dyDescent="0.3">
      <c r="B52" s="166" t="s">
        <v>237</v>
      </c>
      <c r="C52" s="167"/>
      <c r="D52" s="167"/>
      <c r="E52" s="167"/>
      <c r="F52" s="167"/>
      <c r="G52" s="167"/>
      <c r="H52" s="167"/>
      <c r="I52" s="167"/>
      <c r="J52" s="167"/>
      <c r="K52" s="167"/>
      <c r="L52" s="167"/>
      <c r="M52" s="29"/>
      <c r="N52" s="35"/>
    </row>
    <row r="53" spans="1:14" ht="15" x14ac:dyDescent="0.35">
      <c r="B53" s="67"/>
      <c r="L53" s="29"/>
      <c r="M53" s="29"/>
      <c r="N53" s="35"/>
    </row>
    <row r="54" spans="1:14" x14ac:dyDescent="0.3">
      <c r="B54" t="s">
        <v>102</v>
      </c>
      <c r="L54" s="29"/>
      <c r="M54" s="29"/>
      <c r="N54" s="35"/>
    </row>
    <row r="55" spans="1:14" ht="15" x14ac:dyDescent="0.35">
      <c r="B55" s="67"/>
      <c r="L55" s="29"/>
      <c r="M55" s="29"/>
      <c r="N55" s="35"/>
    </row>
    <row r="56" spans="1:14" ht="54.6" customHeight="1" x14ac:dyDescent="0.3">
      <c r="B56" s="166" t="s">
        <v>238</v>
      </c>
      <c r="C56" s="167"/>
      <c r="D56" s="167"/>
      <c r="E56" s="167"/>
      <c r="F56" s="167"/>
      <c r="G56" s="167"/>
      <c r="H56" s="167"/>
      <c r="I56" s="167"/>
      <c r="J56" s="167"/>
      <c r="K56" s="167"/>
      <c r="L56" s="167"/>
      <c r="M56" s="29"/>
      <c r="N56" s="35"/>
    </row>
    <row r="57" spans="1:14" x14ac:dyDescent="0.3">
      <c r="B57" s="2"/>
      <c r="L57" s="29"/>
      <c r="M57" s="29"/>
      <c r="N57" s="35"/>
    </row>
    <row r="58" spans="1:14" ht="75.599999999999994" customHeight="1" x14ac:dyDescent="0.45">
      <c r="B58" s="165" t="s">
        <v>103</v>
      </c>
      <c r="C58" s="14"/>
      <c r="D58" s="40" t="s">
        <v>43</v>
      </c>
      <c r="E58" s="40" t="s">
        <v>44</v>
      </c>
      <c r="F58" s="40" t="s">
        <v>45</v>
      </c>
      <c r="G58" s="40" t="s">
        <v>46</v>
      </c>
      <c r="N58" s="35"/>
    </row>
    <row r="59" spans="1:14" ht="16.2" x14ac:dyDescent="0.45">
      <c r="B59" s="174"/>
      <c r="C59" s="14"/>
      <c r="D59" s="4" t="s">
        <v>107</v>
      </c>
      <c r="E59" s="36">
        <v>10</v>
      </c>
      <c r="F59" s="40"/>
      <c r="G59" s="40"/>
      <c r="N59" s="35"/>
    </row>
    <row r="60" spans="1:14" x14ac:dyDescent="0.3">
      <c r="B60" s="174"/>
      <c r="C60" s="2" t="s">
        <v>97</v>
      </c>
      <c r="D60" s="42">
        <v>32</v>
      </c>
      <c r="E60" s="43" t="str">
        <f>IF(D60&gt;=$E$59,"YES","NO")</f>
        <v>YES</v>
      </c>
      <c r="F60" s="42">
        <v>150</v>
      </c>
      <c r="G60" s="42">
        <v>168</v>
      </c>
      <c r="N60" s="35"/>
    </row>
    <row r="61" spans="1:14" x14ac:dyDescent="0.3">
      <c r="B61" s="174"/>
      <c r="C61" s="2" t="s">
        <v>98</v>
      </c>
      <c r="D61" s="42">
        <v>6</v>
      </c>
      <c r="E61" s="43" t="str">
        <f>IF(D61&gt;=$E$59,"YES","NO")</f>
        <v>NO</v>
      </c>
      <c r="F61" s="42">
        <v>0</v>
      </c>
      <c r="G61" s="42">
        <v>58</v>
      </c>
      <c r="N61" s="35"/>
    </row>
    <row r="62" spans="1:14" x14ac:dyDescent="0.3">
      <c r="B62" s="174"/>
      <c r="C62" s="2" t="s">
        <v>99</v>
      </c>
      <c r="D62" s="42">
        <v>23</v>
      </c>
      <c r="E62" s="43" t="str">
        <f>IF(D62&gt;=$E$59,"YES","NO")</f>
        <v>YES</v>
      </c>
      <c r="F62" s="42">
        <v>100</v>
      </c>
      <c r="G62" s="42">
        <v>100</v>
      </c>
      <c r="N62" s="35"/>
    </row>
    <row r="63" spans="1:14" x14ac:dyDescent="0.3">
      <c r="B63" s="174"/>
      <c r="C63" s="2" t="s">
        <v>100</v>
      </c>
      <c r="D63" s="42">
        <v>20</v>
      </c>
      <c r="E63" s="43" t="str">
        <f>IF(D63&gt;=E59,"YES","NO")</f>
        <v>YES</v>
      </c>
      <c r="F63" s="42">
        <v>150</v>
      </c>
      <c r="G63" s="42">
        <v>179</v>
      </c>
      <c r="N63" s="35"/>
    </row>
    <row r="64" spans="1:14" x14ac:dyDescent="0.3">
      <c r="B64" s="174"/>
      <c r="C64" s="2" t="s">
        <v>101</v>
      </c>
      <c r="D64" s="44">
        <v>18</v>
      </c>
      <c r="E64" s="43" t="str">
        <f>IF(D64&gt;=E59,"YES","NO")</f>
        <v>YES</v>
      </c>
      <c r="F64" s="44">
        <v>85</v>
      </c>
      <c r="G64" s="44">
        <v>85</v>
      </c>
      <c r="N64" s="35"/>
    </row>
    <row r="65" spans="1:32" x14ac:dyDescent="0.3">
      <c r="B65" s="174"/>
      <c r="C65" s="2" t="s">
        <v>47</v>
      </c>
      <c r="D65" s="45">
        <f>SUM(D60:D64)</f>
        <v>99</v>
      </c>
      <c r="E65" s="2"/>
      <c r="F65" s="45">
        <f>SUM(F60:F64)</f>
        <v>485</v>
      </c>
      <c r="G65" s="45">
        <f>SUM(G60:G64)</f>
        <v>590</v>
      </c>
      <c r="N65" s="35"/>
    </row>
    <row r="66" spans="1:32" x14ac:dyDescent="0.3">
      <c r="B66" s="41"/>
      <c r="C66" s="29"/>
      <c r="D66" s="2"/>
      <c r="E66" s="2"/>
      <c r="F66" s="144" t="s">
        <v>48</v>
      </c>
      <c r="G66" s="150">
        <f>ROUND(F65/G65,2)</f>
        <v>0.82</v>
      </c>
      <c r="H66" s="30" t="s">
        <v>67</v>
      </c>
      <c r="K66" s="46"/>
      <c r="N66" s="35"/>
    </row>
    <row r="67" spans="1:32" ht="15" thickBot="1" x14ac:dyDescent="0.35">
      <c r="A67" s="162"/>
      <c r="B67" s="161"/>
      <c r="C67" s="163"/>
      <c r="D67" s="161"/>
      <c r="E67" s="161"/>
      <c r="F67" s="161"/>
      <c r="G67" s="161"/>
      <c r="H67" s="161"/>
      <c r="I67" s="161"/>
      <c r="J67" s="161"/>
      <c r="K67" s="161"/>
      <c r="L67" s="161"/>
      <c r="M67" s="161"/>
    </row>
    <row r="68" spans="1:32" x14ac:dyDescent="0.3">
      <c r="E68" s="55"/>
      <c r="F68" s="55"/>
      <c r="G68" s="55"/>
      <c r="H68" s="55"/>
      <c r="I68" s="55"/>
      <c r="J68" s="55"/>
      <c r="K68" s="55"/>
      <c r="L68" s="55"/>
      <c r="M68" s="55"/>
      <c r="N68" s="55"/>
      <c r="O68" s="55"/>
      <c r="P68" s="55"/>
      <c r="Q68" s="55"/>
      <c r="R68" s="55"/>
    </row>
    <row r="69" spans="1:32" x14ac:dyDescent="0.3">
      <c r="B69" s="68" t="s">
        <v>108</v>
      </c>
      <c r="E69" s="55"/>
      <c r="F69" s="55"/>
      <c r="G69" s="55"/>
      <c r="H69" s="55"/>
      <c r="I69" s="55"/>
      <c r="J69" s="55"/>
      <c r="K69" s="55"/>
      <c r="L69" s="55"/>
      <c r="M69" s="55"/>
      <c r="N69" s="55"/>
      <c r="O69" s="55"/>
      <c r="P69" s="55"/>
      <c r="Q69" s="55"/>
      <c r="R69" s="55"/>
    </row>
    <row r="70" spans="1:32" x14ac:dyDescent="0.3">
      <c r="E70" s="55"/>
      <c r="F70" s="55"/>
      <c r="G70" s="55"/>
      <c r="H70" s="55"/>
      <c r="I70" s="55"/>
      <c r="J70" s="55"/>
      <c r="K70" s="55"/>
      <c r="L70" s="55"/>
      <c r="M70" s="55"/>
      <c r="N70" s="55"/>
      <c r="O70" s="55"/>
      <c r="P70" s="55"/>
      <c r="Q70" s="55"/>
      <c r="R70" s="55"/>
    </row>
    <row r="71" spans="1:32" x14ac:dyDescent="0.3">
      <c r="B71" t="s">
        <v>239</v>
      </c>
      <c r="E71" s="55"/>
      <c r="F71" s="55"/>
      <c r="G71" s="55"/>
      <c r="H71" s="55"/>
      <c r="I71" s="55"/>
      <c r="J71" s="55"/>
      <c r="K71" s="55"/>
      <c r="L71" s="55"/>
      <c r="M71" s="55"/>
      <c r="N71" s="55"/>
      <c r="O71" s="55"/>
      <c r="P71" s="55"/>
      <c r="Q71" s="55"/>
      <c r="R71" s="55"/>
    </row>
    <row r="72" spans="1:32" x14ac:dyDescent="0.3">
      <c r="E72" s="55"/>
      <c r="F72" s="55"/>
      <c r="G72" s="55"/>
      <c r="H72" s="55"/>
      <c r="I72" s="55"/>
      <c r="J72" s="55"/>
      <c r="K72" s="55"/>
      <c r="L72" s="55"/>
      <c r="M72" s="55"/>
      <c r="N72" s="55"/>
      <c r="O72" s="55"/>
      <c r="P72" s="55"/>
      <c r="Q72" s="55"/>
      <c r="R72" s="55"/>
    </row>
    <row r="73" spans="1:32" ht="31.2" customHeight="1" x14ac:dyDescent="0.3">
      <c r="B73" s="166" t="s">
        <v>109</v>
      </c>
      <c r="C73" s="167"/>
      <c r="D73" s="167"/>
      <c r="E73" s="167"/>
      <c r="F73" s="167"/>
      <c r="G73" s="167"/>
      <c r="H73" s="167"/>
      <c r="I73" s="167"/>
      <c r="J73" s="167"/>
      <c r="K73" s="167"/>
      <c r="L73" s="167"/>
      <c r="M73" s="55"/>
      <c r="N73" s="55"/>
      <c r="O73" s="55"/>
      <c r="P73" s="55"/>
      <c r="Q73" s="55"/>
      <c r="R73" s="55"/>
    </row>
    <row r="74" spans="1:32" x14ac:dyDescent="0.3">
      <c r="B74" s="55"/>
      <c r="C74"/>
      <c r="E74" s="55"/>
      <c r="F74" s="55"/>
      <c r="G74" s="55"/>
      <c r="H74" s="55"/>
      <c r="I74" s="55"/>
      <c r="J74" s="55"/>
      <c r="K74" s="55"/>
      <c r="L74" s="55"/>
      <c r="M74" s="55"/>
      <c r="N74" s="55"/>
      <c r="O74" s="55"/>
      <c r="P74" s="55"/>
      <c r="Q74" s="55"/>
      <c r="R74" s="55"/>
    </row>
    <row r="75" spans="1:32" x14ac:dyDescent="0.3">
      <c r="B75" s="55"/>
      <c r="C75" s="4" t="s">
        <v>66</v>
      </c>
      <c r="D75" s="14"/>
      <c r="E75" s="82" t="s">
        <v>120</v>
      </c>
      <c r="F75" s="82" t="s">
        <v>121</v>
      </c>
      <c r="G75" s="81" t="s">
        <v>119</v>
      </c>
      <c r="H75" s="79"/>
      <c r="I75" s="79"/>
      <c r="J75" s="79"/>
      <c r="K75" s="79"/>
      <c r="L75" s="80"/>
      <c r="M75" s="55"/>
      <c r="N75" s="55"/>
      <c r="O75" s="55"/>
      <c r="P75" s="55"/>
      <c r="Q75" s="55"/>
      <c r="R75" s="55"/>
      <c r="AB75" s="47"/>
    </row>
    <row r="76" spans="1:32" x14ac:dyDescent="0.3">
      <c r="B76" s="165" t="s">
        <v>94</v>
      </c>
      <c r="C76"/>
      <c r="D76" s="12" t="s">
        <v>110</v>
      </c>
      <c r="E76" s="14"/>
      <c r="F76" s="14"/>
      <c r="G76" s="3"/>
      <c r="M76" s="55"/>
      <c r="N76" s="55"/>
      <c r="O76" s="55"/>
      <c r="P76" s="55"/>
      <c r="Q76" s="55"/>
      <c r="R76" s="55"/>
      <c r="AA76" s="48"/>
      <c r="AB76" s="48"/>
      <c r="AC76" s="48"/>
      <c r="AD76" s="48"/>
      <c r="AE76" s="48"/>
      <c r="AF76" s="49"/>
    </row>
    <row r="77" spans="1:32" ht="32.4" customHeight="1" x14ac:dyDescent="0.3">
      <c r="B77" s="166"/>
      <c r="C77" s="175" t="s">
        <v>105</v>
      </c>
      <c r="D77" s="175"/>
      <c r="E77" s="78">
        <v>1644</v>
      </c>
      <c r="F77" s="75" t="s">
        <v>49</v>
      </c>
      <c r="G77" s="79" t="s">
        <v>116</v>
      </c>
      <c r="H77" s="79"/>
      <c r="I77" s="79"/>
      <c r="J77" s="79"/>
      <c r="K77" s="79"/>
      <c r="L77" s="80"/>
      <c r="M77" s="55"/>
      <c r="N77" s="55"/>
      <c r="O77" s="55"/>
      <c r="P77" s="55"/>
      <c r="Q77" s="55"/>
      <c r="R77" s="55"/>
      <c r="AA77" s="48"/>
      <c r="AB77" s="48"/>
      <c r="AC77" s="48"/>
      <c r="AD77" s="48"/>
      <c r="AE77" s="48"/>
      <c r="AF77" s="50"/>
    </row>
    <row r="78" spans="1:32" x14ac:dyDescent="0.3">
      <c r="B78" s="166"/>
      <c r="C78"/>
      <c r="D78" s="2" t="s">
        <v>70</v>
      </c>
      <c r="E78" s="69">
        <f>J36</f>
        <v>0.41833333333333339</v>
      </c>
      <c r="F78" s="70" t="s">
        <v>50</v>
      </c>
      <c r="G78" s="168" t="s">
        <v>112</v>
      </c>
      <c r="H78" s="168"/>
      <c r="I78" s="168"/>
      <c r="J78" s="168"/>
      <c r="K78" s="168"/>
      <c r="L78" s="169"/>
      <c r="M78" s="55"/>
      <c r="N78" s="55"/>
      <c r="O78" s="55"/>
      <c r="P78" s="55"/>
      <c r="Q78" s="55"/>
      <c r="R78" s="55"/>
      <c r="Z78" s="2"/>
      <c r="AA78" s="32"/>
      <c r="AB78" s="32"/>
      <c r="AC78" s="32"/>
      <c r="AD78" s="32"/>
    </row>
    <row r="79" spans="1:32" x14ac:dyDescent="0.3">
      <c r="B79" s="166"/>
      <c r="C79"/>
      <c r="D79" s="2" t="s">
        <v>53</v>
      </c>
      <c r="E79" s="71">
        <f>ROUND(+E77*E78,0)</f>
        <v>688</v>
      </c>
      <c r="F79" s="57" t="s">
        <v>74</v>
      </c>
      <c r="G79" s="167"/>
      <c r="H79" s="167"/>
      <c r="I79" s="167"/>
      <c r="J79" s="167"/>
      <c r="K79" s="167"/>
      <c r="L79" s="176"/>
      <c r="M79" s="55"/>
      <c r="N79" s="55"/>
      <c r="O79" s="55"/>
      <c r="P79" s="55"/>
      <c r="Q79" s="55"/>
      <c r="R79" s="55"/>
      <c r="Z79" s="2"/>
      <c r="AB79" s="51"/>
      <c r="AC79" s="52"/>
      <c r="AD79" s="52"/>
      <c r="AE79" s="53"/>
      <c r="AF79" s="54"/>
    </row>
    <row r="80" spans="1:32" x14ac:dyDescent="0.3">
      <c r="B80" s="166"/>
      <c r="C80"/>
      <c r="D80" s="2" t="s">
        <v>54</v>
      </c>
      <c r="E80" s="72">
        <f>+E79*8</f>
        <v>5504</v>
      </c>
      <c r="F80" s="73" t="s">
        <v>75</v>
      </c>
      <c r="G80" s="170"/>
      <c r="H80" s="170"/>
      <c r="I80" s="170"/>
      <c r="J80" s="170"/>
      <c r="K80" s="170"/>
      <c r="L80" s="171"/>
      <c r="M80" s="55"/>
      <c r="N80" s="55"/>
      <c r="O80" s="55"/>
      <c r="P80" s="55"/>
      <c r="Q80" s="55"/>
      <c r="R80" s="55"/>
      <c r="Y80" s="2"/>
    </row>
    <row r="81" spans="2:25" x14ac:dyDescent="0.3">
      <c r="B81" s="166"/>
      <c r="C81"/>
      <c r="D81" s="2" t="s">
        <v>55</v>
      </c>
      <c r="E81" s="58">
        <f>(L34)</f>
        <v>37.36</v>
      </c>
      <c r="F81" s="57" t="s">
        <v>51</v>
      </c>
      <c r="M81" s="55"/>
      <c r="N81" s="55"/>
      <c r="O81" s="55"/>
      <c r="P81" s="55"/>
      <c r="Q81" s="55"/>
      <c r="R81" s="55"/>
      <c r="Y81" s="2"/>
    </row>
    <row r="82" spans="2:25" ht="40.200000000000003" customHeight="1" x14ac:dyDescent="0.3">
      <c r="B82" s="166"/>
      <c r="C82"/>
      <c r="D82" s="2" t="s">
        <v>56</v>
      </c>
      <c r="E82" s="74">
        <f>ROUND(E80*E81,0)</f>
        <v>205629</v>
      </c>
      <c r="F82" s="75" t="s">
        <v>76</v>
      </c>
      <c r="G82" s="172" t="s">
        <v>113</v>
      </c>
      <c r="H82" s="172"/>
      <c r="I82" s="172"/>
      <c r="J82" s="172"/>
      <c r="K82" s="172"/>
      <c r="L82" s="173"/>
      <c r="M82" s="55"/>
      <c r="N82" s="55"/>
      <c r="O82" s="55"/>
      <c r="P82" s="55"/>
      <c r="Q82" s="55"/>
      <c r="R82" s="55"/>
      <c r="Y82" s="2"/>
    </row>
    <row r="83" spans="2:25" ht="40.200000000000003" customHeight="1" x14ac:dyDescent="0.3">
      <c r="B83" s="166"/>
      <c r="C83"/>
      <c r="D83" s="2" t="s">
        <v>57</v>
      </c>
      <c r="E83" s="76">
        <f>ROUND((+E82)*D48,0)</f>
        <v>26012</v>
      </c>
      <c r="F83" s="75" t="s">
        <v>77</v>
      </c>
      <c r="G83" s="172" t="s">
        <v>114</v>
      </c>
      <c r="H83" s="172"/>
      <c r="I83" s="172"/>
      <c r="J83" s="172"/>
      <c r="K83" s="172"/>
      <c r="L83" s="173"/>
      <c r="N83" s="3"/>
      <c r="O83" s="3"/>
      <c r="P83" s="3"/>
      <c r="Q83" s="4"/>
      <c r="R83" s="54"/>
      <c r="Y83" s="2"/>
    </row>
    <row r="84" spans="2:25" ht="40.200000000000003" customHeight="1" x14ac:dyDescent="0.3">
      <c r="B84" s="166"/>
      <c r="C84"/>
      <c r="D84" s="2" t="s">
        <v>58</v>
      </c>
      <c r="E84" s="77">
        <f>+E83+E82</f>
        <v>231641</v>
      </c>
      <c r="F84" s="75" t="s">
        <v>52</v>
      </c>
      <c r="G84" s="172" t="s">
        <v>115</v>
      </c>
      <c r="H84" s="172"/>
      <c r="I84" s="172"/>
      <c r="J84" s="172"/>
      <c r="K84" s="172"/>
      <c r="L84" s="173"/>
      <c r="N84" s="3"/>
      <c r="O84" s="3"/>
      <c r="P84" s="3"/>
      <c r="Q84" s="4"/>
      <c r="R84" s="54"/>
      <c r="Y84" s="2"/>
    </row>
    <row r="85" spans="2:25" x14ac:dyDescent="0.3">
      <c r="B85" s="166"/>
      <c r="C85"/>
      <c r="D85" s="2"/>
      <c r="F85" s="57"/>
      <c r="N85" s="3"/>
      <c r="O85" s="3"/>
      <c r="P85" s="3"/>
      <c r="Q85" s="4"/>
      <c r="R85" s="54"/>
      <c r="Y85" s="2"/>
    </row>
    <row r="86" spans="2:25" x14ac:dyDescent="0.3">
      <c r="B86" s="166"/>
      <c r="C86"/>
      <c r="D86" s="12" t="s">
        <v>111</v>
      </c>
      <c r="E86" s="53"/>
      <c r="N86" s="3"/>
      <c r="O86" s="3"/>
      <c r="P86" s="3"/>
      <c r="Q86" s="4"/>
      <c r="R86" s="54"/>
      <c r="Y86" s="2"/>
    </row>
    <row r="87" spans="2:25" ht="46.2" customHeight="1" x14ac:dyDescent="0.3">
      <c r="B87" s="166"/>
      <c r="C87"/>
      <c r="D87" s="2" t="s">
        <v>59</v>
      </c>
      <c r="E87" s="85">
        <f>+E77-E79</f>
        <v>956</v>
      </c>
      <c r="F87" s="70" t="s">
        <v>96</v>
      </c>
      <c r="G87" s="168" t="s">
        <v>117</v>
      </c>
      <c r="H87" s="168"/>
      <c r="I87" s="168"/>
      <c r="J87" s="168"/>
      <c r="K87" s="168"/>
      <c r="L87" s="169"/>
      <c r="N87" s="3"/>
      <c r="O87" s="3"/>
      <c r="P87" s="3"/>
      <c r="Q87" s="4"/>
      <c r="R87" s="54"/>
      <c r="Y87" s="2"/>
    </row>
    <row r="88" spans="2:25" ht="29.4" customHeight="1" x14ac:dyDescent="0.3">
      <c r="B88" s="166"/>
      <c r="C88"/>
      <c r="D88" s="2" t="s">
        <v>60</v>
      </c>
      <c r="E88" s="86">
        <f>ROUND(E87*G66,0)</f>
        <v>784</v>
      </c>
      <c r="F88" s="70" t="s">
        <v>95</v>
      </c>
      <c r="G88" s="168" t="s">
        <v>118</v>
      </c>
      <c r="H88" s="168"/>
      <c r="I88" s="168"/>
      <c r="J88" s="168"/>
      <c r="K88" s="168"/>
      <c r="L88" s="169"/>
      <c r="N88" s="3"/>
      <c r="O88" s="3"/>
      <c r="P88" s="3"/>
      <c r="Q88" s="4"/>
      <c r="R88" s="54"/>
      <c r="Y88" s="2"/>
    </row>
    <row r="89" spans="2:25" ht="29.4" customHeight="1" x14ac:dyDescent="0.3">
      <c r="B89" s="166"/>
      <c r="C89"/>
      <c r="D89" s="2" t="s">
        <v>61</v>
      </c>
      <c r="E89" s="72">
        <f>+E88*8</f>
        <v>6272</v>
      </c>
      <c r="F89" s="73" t="s">
        <v>92</v>
      </c>
      <c r="G89" s="170"/>
      <c r="H89" s="170"/>
      <c r="I89" s="170"/>
      <c r="J89" s="170"/>
      <c r="K89" s="170"/>
      <c r="L89" s="171"/>
      <c r="N89" s="3"/>
      <c r="O89" s="3"/>
      <c r="P89" s="3"/>
      <c r="Q89" s="4"/>
      <c r="R89" s="54"/>
      <c r="Y89" s="2"/>
    </row>
    <row r="90" spans="2:25" x14ac:dyDescent="0.3">
      <c r="B90" s="166"/>
      <c r="C90"/>
      <c r="D90" s="2" t="s">
        <v>62</v>
      </c>
      <c r="E90" s="87">
        <f>ROUND(+E81*E89,0)</f>
        <v>234322</v>
      </c>
      <c r="F90" s="75" t="s">
        <v>93</v>
      </c>
      <c r="G90" s="79" t="s">
        <v>241</v>
      </c>
      <c r="H90" s="79"/>
      <c r="I90" s="79"/>
      <c r="J90" s="79"/>
      <c r="K90" s="79"/>
      <c r="L90" s="80"/>
      <c r="N90" s="3"/>
      <c r="O90" s="3"/>
      <c r="P90" s="3"/>
      <c r="Q90" s="4"/>
      <c r="R90" s="54"/>
      <c r="Y90" s="2"/>
    </row>
    <row r="91" spans="2:25" x14ac:dyDescent="0.3">
      <c r="B91" s="166"/>
      <c r="C91"/>
      <c r="D91" s="2" t="s">
        <v>71</v>
      </c>
      <c r="E91" s="89">
        <v>0.3</v>
      </c>
      <c r="F91" s="70" t="s">
        <v>72</v>
      </c>
      <c r="G91" s="7"/>
      <c r="H91" s="7"/>
      <c r="I91" s="7"/>
      <c r="J91" s="7"/>
      <c r="K91" s="7"/>
      <c r="L91" s="83"/>
      <c r="N91" s="3"/>
      <c r="O91" s="3"/>
      <c r="P91" s="3"/>
      <c r="Q91" s="4"/>
      <c r="R91" s="54"/>
      <c r="Y91" s="2"/>
    </row>
    <row r="92" spans="2:25" x14ac:dyDescent="0.3">
      <c r="B92" s="166"/>
      <c r="C92"/>
      <c r="D92" s="2" t="s">
        <v>81</v>
      </c>
      <c r="E92" s="90">
        <f>ROUND(+E90*E91,0)</f>
        <v>70297</v>
      </c>
      <c r="F92" s="73" t="s">
        <v>73</v>
      </c>
      <c r="G92" s="33" t="s">
        <v>240</v>
      </c>
      <c r="H92" s="33"/>
      <c r="I92" s="33"/>
      <c r="J92" s="33"/>
      <c r="K92" s="33"/>
      <c r="L92" s="84"/>
      <c r="N92" s="3"/>
      <c r="O92" s="3"/>
      <c r="P92" s="3"/>
      <c r="Q92" s="4"/>
      <c r="R92" s="54"/>
      <c r="Y92" s="2"/>
    </row>
    <row r="93" spans="2:25" ht="43.8" customHeight="1" x14ac:dyDescent="0.3">
      <c r="B93" s="166"/>
      <c r="C93"/>
      <c r="D93" s="2" t="s">
        <v>63</v>
      </c>
      <c r="E93" s="88">
        <f>ROUND(E92*F48,0)</f>
        <v>5378</v>
      </c>
      <c r="F93" s="75" t="s">
        <v>78</v>
      </c>
      <c r="G93" s="172" t="s">
        <v>122</v>
      </c>
      <c r="H93" s="172"/>
      <c r="I93" s="172"/>
      <c r="J93" s="172"/>
      <c r="K93" s="172"/>
      <c r="L93" s="173"/>
      <c r="N93" s="3"/>
      <c r="O93" s="3"/>
      <c r="P93" s="3"/>
      <c r="Q93" s="4"/>
      <c r="R93" s="54"/>
      <c r="Y93" s="2"/>
    </row>
    <row r="94" spans="2:25" x14ac:dyDescent="0.3">
      <c r="B94" s="166"/>
      <c r="C94"/>
      <c r="D94" s="2" t="s">
        <v>64</v>
      </c>
      <c r="E94" s="77">
        <f>+E93+E92</f>
        <v>75675</v>
      </c>
      <c r="F94" s="75" t="s">
        <v>79</v>
      </c>
      <c r="G94" s="79" t="s">
        <v>123</v>
      </c>
      <c r="H94" s="79"/>
      <c r="I94" s="79"/>
      <c r="J94" s="79"/>
      <c r="K94" s="79"/>
      <c r="L94" s="80"/>
      <c r="N94" s="3"/>
      <c r="O94" s="3"/>
      <c r="P94" s="3"/>
      <c r="Q94" s="4"/>
      <c r="R94" s="54"/>
      <c r="Y94" s="2"/>
    </row>
    <row r="95" spans="2:25" x14ac:dyDescent="0.3">
      <c r="B95" s="166"/>
      <c r="C95"/>
      <c r="N95" s="3"/>
      <c r="O95" s="3"/>
      <c r="P95" s="3"/>
      <c r="Q95" s="4"/>
      <c r="R95" s="54"/>
      <c r="Y95" s="2"/>
    </row>
    <row r="96" spans="2:25" ht="15" thickBot="1" x14ac:dyDescent="0.35">
      <c r="B96" s="166"/>
      <c r="C96"/>
      <c r="D96" s="4" t="s">
        <v>65</v>
      </c>
      <c r="E96" s="66">
        <f>+E94+E84</f>
        <v>307316</v>
      </c>
      <c r="F96" s="57" t="s">
        <v>80</v>
      </c>
      <c r="N96" s="3"/>
      <c r="O96" s="3"/>
      <c r="P96" s="3"/>
      <c r="Q96" s="4"/>
      <c r="R96" s="54"/>
      <c r="Y96" s="2"/>
    </row>
    <row r="97" spans="1:31" ht="15.6" thickTop="1" thickBot="1" x14ac:dyDescent="0.35">
      <c r="A97" s="162"/>
      <c r="B97" s="161"/>
      <c r="C97" s="163"/>
      <c r="D97" s="161"/>
      <c r="E97" s="161"/>
      <c r="F97" s="161"/>
      <c r="G97" s="161"/>
      <c r="H97" s="161"/>
      <c r="I97" s="161"/>
      <c r="J97" s="161"/>
      <c r="K97" s="161"/>
      <c r="L97" s="161"/>
      <c r="M97" s="161"/>
      <c r="N97" s="56"/>
      <c r="O97" s="56"/>
      <c r="P97" s="56"/>
      <c r="Q97" s="56"/>
      <c r="R97" s="56"/>
    </row>
    <row r="98" spans="1:31" x14ac:dyDescent="0.3">
      <c r="C98"/>
      <c r="K98" s="55"/>
      <c r="N98" s="3"/>
      <c r="O98" s="3"/>
      <c r="P98" s="3"/>
      <c r="Q98" s="4"/>
      <c r="R98" s="54"/>
      <c r="Y98" s="2"/>
    </row>
    <row r="99" spans="1:31" x14ac:dyDescent="0.3">
      <c r="AD99" s="31"/>
      <c r="AE99" s="31"/>
    </row>
  </sheetData>
  <mergeCells count="19">
    <mergeCell ref="B56:L56"/>
    <mergeCell ref="G83:L83"/>
    <mergeCell ref="G84:L84"/>
    <mergeCell ref="G87:L87"/>
    <mergeCell ref="G88:L89"/>
    <mergeCell ref="G93:L93"/>
    <mergeCell ref="B11:M11"/>
    <mergeCell ref="B58:B65"/>
    <mergeCell ref="B21:B36"/>
    <mergeCell ref="B44:B48"/>
    <mergeCell ref="B76:B96"/>
    <mergeCell ref="C77:D77"/>
    <mergeCell ref="B73:L73"/>
    <mergeCell ref="G78:L80"/>
    <mergeCell ref="G82:L82"/>
    <mergeCell ref="B16:L16"/>
    <mergeCell ref="B18:L18"/>
    <mergeCell ref="B42:L42"/>
    <mergeCell ref="B52:L5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Dollars Paid Approach</vt:lpstr>
      <vt:lpstr>Days Used Approach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Buikema</dc:creator>
  <cp:lastModifiedBy>Todd Buikema</cp:lastModifiedBy>
  <dcterms:created xsi:type="dcterms:W3CDTF">2024-02-28T22:31:37Z</dcterms:created>
  <dcterms:modified xsi:type="dcterms:W3CDTF">2024-03-07T19:01:39Z</dcterms:modified>
</cp:coreProperties>
</file>